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esktop\"/>
    </mc:Choice>
  </mc:AlternateContent>
  <bookViews>
    <workbookView xWindow="0" yWindow="0" windowWidth="20490" windowHeight="7755" activeTab="3"/>
  </bookViews>
  <sheets>
    <sheet name="2017" sheetId="3" r:id="rId1"/>
    <sheet name="2018" sheetId="4" r:id="rId2"/>
    <sheet name="2019" sheetId="5" r:id="rId3"/>
    <sheet name="2020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6" l="1"/>
  <c r="R25" i="6"/>
  <c r="Q25" i="6"/>
  <c r="R24" i="6"/>
  <c r="Q24" i="6"/>
  <c r="R23" i="6"/>
  <c r="S23" i="6" s="1"/>
  <c r="Q23" i="6"/>
  <c r="R22" i="6"/>
  <c r="Q22" i="6"/>
  <c r="R21" i="6"/>
  <c r="S21" i="6" s="1"/>
  <c r="Q21" i="6"/>
  <c r="R20" i="6"/>
  <c r="Q20" i="6"/>
  <c r="S20" i="6"/>
  <c r="S22" i="6"/>
  <c r="S24" i="6"/>
  <c r="R19" i="6"/>
  <c r="Q19" i="6"/>
  <c r="M26" i="6"/>
  <c r="L26" i="6"/>
  <c r="M25" i="6"/>
  <c r="L25" i="6"/>
  <c r="M24" i="6"/>
  <c r="L24" i="6"/>
  <c r="M23" i="6"/>
  <c r="L23" i="6"/>
  <c r="M22" i="6"/>
  <c r="L22" i="6"/>
  <c r="M21" i="6"/>
  <c r="M20" i="6"/>
  <c r="N20" i="6" s="1"/>
  <c r="L21" i="6"/>
  <c r="L20" i="6"/>
  <c r="M19" i="6"/>
  <c r="L19" i="6"/>
  <c r="AG9" i="6"/>
  <c r="AF9" i="6"/>
  <c r="AG8" i="6"/>
  <c r="AG7" i="6"/>
  <c r="AF8" i="6"/>
  <c r="AF7" i="6"/>
  <c r="AG4" i="6"/>
  <c r="AG6" i="6"/>
  <c r="AF6" i="6"/>
  <c r="AG5" i="6"/>
  <c r="AF5" i="6"/>
  <c r="AF4" i="6"/>
  <c r="AB13" i="6"/>
  <c r="AA13" i="6"/>
  <c r="AB12" i="6"/>
  <c r="AA12" i="6"/>
  <c r="AB11" i="6"/>
  <c r="AA11" i="6"/>
  <c r="AB10" i="6"/>
  <c r="AA10" i="6"/>
  <c r="AB9" i="6"/>
  <c r="AA9" i="6"/>
  <c r="AB8" i="6"/>
  <c r="AA8" i="6"/>
  <c r="AB7" i="6"/>
  <c r="AA7" i="6"/>
  <c r="AB6" i="6"/>
  <c r="AA6" i="6"/>
  <c r="AB5" i="6"/>
  <c r="AA5" i="6"/>
  <c r="AB4" i="6"/>
  <c r="AA4" i="6"/>
  <c r="W13" i="6"/>
  <c r="V13" i="6"/>
  <c r="V12" i="6"/>
  <c r="W12" i="6"/>
  <c r="W11" i="6"/>
  <c r="V11" i="6"/>
  <c r="W10" i="6"/>
  <c r="V10" i="6"/>
  <c r="W9" i="6"/>
  <c r="V9" i="6"/>
  <c r="W8" i="6"/>
  <c r="V8" i="6"/>
  <c r="W7" i="6"/>
  <c r="V7" i="6"/>
  <c r="V6" i="6"/>
  <c r="W6" i="6"/>
  <c r="W5" i="6"/>
  <c r="V5" i="6"/>
  <c r="W4" i="6"/>
  <c r="V4" i="6"/>
  <c r="R14" i="6"/>
  <c r="R13" i="6"/>
  <c r="R12" i="6"/>
  <c r="R11" i="6"/>
  <c r="R10" i="6"/>
  <c r="R9" i="6"/>
  <c r="R8" i="6"/>
  <c r="R7" i="6"/>
  <c r="R6" i="6"/>
  <c r="R5" i="6"/>
  <c r="R4" i="6"/>
  <c r="Q14" i="6"/>
  <c r="Q13" i="6"/>
  <c r="Q12" i="6"/>
  <c r="Q11" i="6"/>
  <c r="Q10" i="6"/>
  <c r="Q9" i="6"/>
  <c r="Q8" i="6"/>
  <c r="Q7" i="6"/>
  <c r="Q6" i="6"/>
  <c r="Q5" i="6"/>
  <c r="Q4" i="6"/>
  <c r="M8" i="6"/>
  <c r="L8" i="6"/>
  <c r="M7" i="6"/>
  <c r="L7" i="6"/>
  <c r="M6" i="6"/>
  <c r="L6" i="6"/>
  <c r="M5" i="6"/>
  <c r="L5" i="6"/>
  <c r="L4" i="6"/>
  <c r="M4" i="6"/>
  <c r="AG37" i="5"/>
  <c r="AG36" i="5"/>
  <c r="AG35" i="5"/>
  <c r="AG34" i="5"/>
  <c r="AH34" i="5" s="1"/>
  <c r="AG33" i="5"/>
  <c r="AH33" i="5" s="1"/>
  <c r="AG32" i="5"/>
  <c r="AG31" i="5"/>
  <c r="AG30" i="5"/>
  <c r="AH30" i="5" s="1"/>
  <c r="AG29" i="5"/>
  <c r="AH29" i="5" s="1"/>
  <c r="AG28" i="5"/>
  <c r="AF37" i="5"/>
  <c r="AH37" i="5" s="1"/>
  <c r="AF36" i="5"/>
  <c r="AF35" i="5"/>
  <c r="AF34" i="5"/>
  <c r="AF33" i="5"/>
  <c r="AF32" i="5"/>
  <c r="AH32" i="5" s="1"/>
  <c r="AF31" i="5"/>
  <c r="AF30" i="5"/>
  <c r="AF29" i="5"/>
  <c r="AF28" i="5"/>
  <c r="AG27" i="5"/>
  <c r="AF27" i="5"/>
  <c r="AG26" i="5"/>
  <c r="AF26" i="5"/>
  <c r="AG25" i="5"/>
  <c r="AF25" i="5"/>
  <c r="AG24" i="5"/>
  <c r="AF24" i="5"/>
  <c r="AH24" i="5"/>
  <c r="AH25" i="5"/>
  <c r="AH26" i="5"/>
  <c r="AH27" i="5"/>
  <c r="AH28" i="5"/>
  <c r="AH31" i="5"/>
  <c r="AG23" i="5"/>
  <c r="AF23" i="5"/>
  <c r="AH23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A37" i="5"/>
  <c r="AA36" i="5"/>
  <c r="AA35" i="5"/>
  <c r="AA34" i="5"/>
  <c r="AA33" i="5"/>
  <c r="AC33" i="5" s="1"/>
  <c r="AA32" i="5"/>
  <c r="AA31" i="5"/>
  <c r="AA30" i="5"/>
  <c r="AA29" i="5"/>
  <c r="AA28" i="5"/>
  <c r="AA27" i="5"/>
  <c r="AA26" i="5"/>
  <c r="AA25" i="5"/>
  <c r="AA24" i="5"/>
  <c r="AA23" i="5"/>
  <c r="V37" i="5"/>
  <c r="W37" i="5"/>
  <c r="W36" i="5"/>
  <c r="V36" i="5"/>
  <c r="W35" i="5"/>
  <c r="V35" i="5"/>
  <c r="W34" i="5"/>
  <c r="V34" i="5"/>
  <c r="W33" i="5"/>
  <c r="V33" i="5"/>
  <c r="V32" i="5"/>
  <c r="W32" i="5"/>
  <c r="W31" i="5"/>
  <c r="V31" i="5"/>
  <c r="W30" i="5"/>
  <c r="V30" i="5"/>
  <c r="W29" i="5"/>
  <c r="V29" i="5"/>
  <c r="W28" i="5"/>
  <c r="V28" i="5"/>
  <c r="W27" i="5"/>
  <c r="V27" i="5"/>
  <c r="W26" i="5"/>
  <c r="V26" i="5"/>
  <c r="W25" i="5"/>
  <c r="V25" i="5"/>
  <c r="W24" i="5"/>
  <c r="V24" i="5"/>
  <c r="V23" i="5"/>
  <c r="W23" i="5"/>
  <c r="S25" i="6" l="1"/>
  <c r="S19" i="6"/>
  <c r="N26" i="6"/>
  <c r="N22" i="6"/>
  <c r="N23" i="6"/>
  <c r="N19" i="6"/>
  <c r="N21" i="6"/>
  <c r="N24" i="6"/>
  <c r="N25" i="6"/>
  <c r="AH4" i="6"/>
  <c r="AH9" i="6"/>
  <c r="AH8" i="6"/>
  <c r="AH6" i="6"/>
  <c r="AH5" i="6"/>
  <c r="AH7" i="6"/>
  <c r="AC4" i="6"/>
  <c r="AC6" i="6"/>
  <c r="AC8" i="6"/>
  <c r="AC10" i="6"/>
  <c r="AC12" i="6"/>
  <c r="AC5" i="6"/>
  <c r="AC7" i="6"/>
  <c r="AC9" i="6"/>
  <c r="AC11" i="6"/>
  <c r="AC13" i="6"/>
  <c r="X7" i="6"/>
  <c r="X9" i="6"/>
  <c r="X11" i="6"/>
  <c r="X13" i="6"/>
  <c r="X6" i="6"/>
  <c r="X8" i="6"/>
  <c r="X12" i="6"/>
  <c r="X4" i="6"/>
  <c r="X10" i="6"/>
  <c r="X5" i="6"/>
  <c r="S14" i="6"/>
  <c r="S9" i="6"/>
  <c r="S4" i="6"/>
  <c r="S13" i="6"/>
  <c r="S6" i="6"/>
  <c r="S8" i="6"/>
  <c r="S12" i="6"/>
  <c r="S5" i="6"/>
  <c r="S10" i="6"/>
  <c r="S7" i="6"/>
  <c r="S11" i="6"/>
  <c r="N8" i="6"/>
  <c r="N6" i="6"/>
  <c r="N7" i="6"/>
  <c r="N5" i="6"/>
  <c r="N4" i="6"/>
  <c r="AH36" i="5"/>
  <c r="AH35" i="5"/>
  <c r="AH38" i="5"/>
  <c r="AC34" i="5"/>
  <c r="AC24" i="5"/>
  <c r="AC26" i="5"/>
  <c r="AC30" i="5"/>
  <c r="AC32" i="5"/>
  <c r="AC36" i="5"/>
  <c r="AC23" i="5"/>
  <c r="AC27" i="5"/>
  <c r="AC31" i="5"/>
  <c r="AC35" i="5"/>
  <c r="AC28" i="5"/>
  <c r="AC25" i="5"/>
  <c r="AC29" i="5"/>
  <c r="AC37" i="5"/>
  <c r="X27" i="5"/>
  <c r="X34" i="5"/>
  <c r="X25" i="5"/>
  <c r="X29" i="5"/>
  <c r="X31" i="5"/>
  <c r="X33" i="5"/>
  <c r="X35" i="5"/>
  <c r="X37" i="5"/>
  <c r="X24" i="5"/>
  <c r="X28" i="5"/>
  <c r="X32" i="5"/>
  <c r="X36" i="5"/>
  <c r="X30" i="5"/>
  <c r="X26" i="5"/>
  <c r="X23" i="5"/>
  <c r="R34" i="5"/>
  <c r="Q34" i="5"/>
  <c r="R33" i="5"/>
  <c r="Q33" i="5"/>
  <c r="R32" i="5"/>
  <c r="Q32" i="5"/>
  <c r="R31" i="5"/>
  <c r="Q31" i="5"/>
  <c r="R30" i="5"/>
  <c r="Q30" i="5"/>
  <c r="R29" i="5"/>
  <c r="Q29" i="5"/>
  <c r="R28" i="5"/>
  <c r="Q28" i="5"/>
  <c r="R27" i="5"/>
  <c r="Q27" i="5"/>
  <c r="R26" i="5"/>
  <c r="Q26" i="5"/>
  <c r="R25" i="5"/>
  <c r="Q25" i="5"/>
  <c r="R24" i="5"/>
  <c r="Q24" i="5"/>
  <c r="R23" i="5"/>
  <c r="Q23" i="5"/>
  <c r="M32" i="5"/>
  <c r="L32" i="5"/>
  <c r="M31" i="5"/>
  <c r="L31" i="5"/>
  <c r="M30" i="5"/>
  <c r="L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AQ15" i="5"/>
  <c r="AP15" i="5"/>
  <c r="AQ14" i="5"/>
  <c r="AP14" i="5"/>
  <c r="AQ13" i="5"/>
  <c r="AP13" i="5"/>
  <c r="AQ12" i="5"/>
  <c r="AP12" i="5"/>
  <c r="AQ11" i="5"/>
  <c r="AP11" i="5"/>
  <c r="AQ10" i="5"/>
  <c r="AP10" i="5"/>
  <c r="AQ9" i="5"/>
  <c r="AP9" i="5"/>
  <c r="AQ8" i="5"/>
  <c r="AP8" i="5"/>
  <c r="AQ7" i="5"/>
  <c r="AP7" i="5"/>
  <c r="AQ6" i="5"/>
  <c r="AP6" i="5"/>
  <c r="AQ5" i="5"/>
  <c r="AP5" i="5"/>
  <c r="AQ4" i="5"/>
  <c r="AP4" i="5"/>
  <c r="N27" i="6" l="1"/>
  <c r="AH10" i="6"/>
  <c r="AC14" i="6"/>
  <c r="X14" i="6"/>
  <c r="S15" i="6"/>
  <c r="N9" i="6"/>
  <c r="AC38" i="5"/>
  <c r="X38" i="5"/>
  <c r="S24" i="5"/>
  <c r="S27" i="5"/>
  <c r="S29" i="5"/>
  <c r="S28" i="5"/>
  <c r="S30" i="5"/>
  <c r="S32" i="5"/>
  <c r="S34" i="5"/>
  <c r="S23" i="5"/>
  <c r="S31" i="5"/>
  <c r="S33" i="5"/>
  <c r="S26" i="5"/>
  <c r="S25" i="5"/>
  <c r="N28" i="5"/>
  <c r="N25" i="5"/>
  <c r="N27" i="5"/>
  <c r="N31" i="5"/>
  <c r="N23" i="5"/>
  <c r="N32" i="5"/>
  <c r="N29" i="5"/>
  <c r="N24" i="5"/>
  <c r="N26" i="5"/>
  <c r="N30" i="5"/>
  <c r="AR12" i="5"/>
  <c r="AR9" i="5"/>
  <c r="AR6" i="5"/>
  <c r="AR8" i="5"/>
  <c r="AR14" i="5"/>
  <c r="AR4" i="5"/>
  <c r="AR7" i="5"/>
  <c r="AR11" i="5"/>
  <c r="AR13" i="5"/>
  <c r="AR5" i="5"/>
  <c r="AR15" i="5"/>
  <c r="AR10" i="5"/>
  <c r="AL15" i="5"/>
  <c r="AK15" i="5"/>
  <c r="AL14" i="5"/>
  <c r="AK14" i="5"/>
  <c r="AL13" i="5"/>
  <c r="AK13" i="5"/>
  <c r="AL12" i="5"/>
  <c r="AK12" i="5"/>
  <c r="AL11" i="5"/>
  <c r="AK11" i="5"/>
  <c r="AL10" i="5"/>
  <c r="AK10" i="5"/>
  <c r="AL9" i="5"/>
  <c r="AK9" i="5"/>
  <c r="AL8" i="5"/>
  <c r="AL7" i="5"/>
  <c r="AK7" i="5"/>
  <c r="AK8" i="5"/>
  <c r="AK6" i="5"/>
  <c r="AL6" i="5"/>
  <c r="AL5" i="5"/>
  <c r="AK5" i="5"/>
  <c r="AL4" i="5"/>
  <c r="AK4" i="5"/>
  <c r="AF16" i="5"/>
  <c r="AG15" i="5"/>
  <c r="AF15" i="5"/>
  <c r="AG14" i="5"/>
  <c r="AF14" i="5"/>
  <c r="AG13" i="5"/>
  <c r="AF13" i="5"/>
  <c r="AG12" i="5"/>
  <c r="AF12" i="5"/>
  <c r="AG11" i="5"/>
  <c r="AF11" i="5"/>
  <c r="AG10" i="5"/>
  <c r="AF10" i="5"/>
  <c r="AG9" i="5"/>
  <c r="AF9" i="5"/>
  <c r="AG8" i="5"/>
  <c r="AF8" i="5"/>
  <c r="AG7" i="5"/>
  <c r="AF7" i="5"/>
  <c r="AG6" i="5"/>
  <c r="AF6" i="5"/>
  <c r="AG5" i="5"/>
  <c r="AF5" i="5"/>
  <c r="AG16" i="5"/>
  <c r="AG4" i="5"/>
  <c r="AF4" i="5"/>
  <c r="AB16" i="5"/>
  <c r="AA16" i="5"/>
  <c r="AB15" i="5"/>
  <c r="AA15" i="5"/>
  <c r="AB14" i="5"/>
  <c r="AA14" i="5"/>
  <c r="AB13" i="5"/>
  <c r="AA13" i="5"/>
  <c r="AB12" i="5"/>
  <c r="AA12" i="5"/>
  <c r="AB11" i="5"/>
  <c r="AA11" i="5"/>
  <c r="AB10" i="5"/>
  <c r="AA10" i="5"/>
  <c r="AB9" i="5"/>
  <c r="AA9" i="5"/>
  <c r="AB8" i="5"/>
  <c r="AA8" i="5"/>
  <c r="AB7" i="5"/>
  <c r="AA7" i="5"/>
  <c r="AB6" i="5"/>
  <c r="AA6" i="5"/>
  <c r="AB5" i="5"/>
  <c r="AA5" i="5"/>
  <c r="AB4" i="5"/>
  <c r="AA4" i="5"/>
  <c r="W14" i="5"/>
  <c r="V14" i="5"/>
  <c r="W13" i="5"/>
  <c r="V13" i="5"/>
  <c r="W12" i="5"/>
  <c r="V12" i="5"/>
  <c r="W11" i="5"/>
  <c r="V11" i="5"/>
  <c r="W10" i="5"/>
  <c r="V10" i="5"/>
  <c r="W9" i="5"/>
  <c r="V9" i="5"/>
  <c r="W8" i="5"/>
  <c r="V8" i="5"/>
  <c r="W7" i="5"/>
  <c r="V7" i="5"/>
  <c r="W6" i="5"/>
  <c r="V6" i="5"/>
  <c r="W5" i="5"/>
  <c r="V5" i="5"/>
  <c r="W4" i="5"/>
  <c r="S35" i="5" l="1"/>
  <c r="N33" i="5"/>
  <c r="AR16" i="5"/>
  <c r="AM10" i="5"/>
  <c r="AM7" i="5"/>
  <c r="AM14" i="5"/>
  <c r="AM5" i="5"/>
  <c r="AM9" i="5"/>
  <c r="AM13" i="5"/>
  <c r="AM15" i="5"/>
  <c r="AM6" i="5"/>
  <c r="AM12" i="5"/>
  <c r="AM4" i="5"/>
  <c r="AM8" i="5"/>
  <c r="AM11" i="5"/>
  <c r="AH5" i="5"/>
  <c r="AH13" i="5"/>
  <c r="AH12" i="5"/>
  <c r="AH6" i="5"/>
  <c r="AH7" i="5"/>
  <c r="AH11" i="5"/>
  <c r="AH15" i="5"/>
  <c r="AH4" i="5"/>
  <c r="AH8" i="5"/>
  <c r="AH16" i="5"/>
  <c r="AH10" i="5"/>
  <c r="AH14" i="5"/>
  <c r="AH9" i="5"/>
  <c r="AC12" i="5"/>
  <c r="AC6" i="5"/>
  <c r="AC8" i="5"/>
  <c r="AC16" i="5"/>
  <c r="AC5" i="5"/>
  <c r="AC11" i="5"/>
  <c r="AC13" i="5"/>
  <c r="AC15" i="5"/>
  <c r="AC4" i="5"/>
  <c r="AC10" i="5"/>
  <c r="AC14" i="5"/>
  <c r="AC9" i="5"/>
  <c r="AC7" i="5"/>
  <c r="X13" i="5"/>
  <c r="X10" i="5"/>
  <c r="X12" i="5"/>
  <c r="X14" i="5"/>
  <c r="X11" i="5"/>
  <c r="X9" i="5"/>
  <c r="X8" i="5"/>
  <c r="X7" i="5"/>
  <c r="X6" i="5"/>
  <c r="X5" i="5"/>
  <c r="V4" i="5"/>
  <c r="X4" i="5" s="1"/>
  <c r="R14" i="5"/>
  <c r="Q14" i="5"/>
  <c r="R13" i="5"/>
  <c r="Q13" i="5"/>
  <c r="R12" i="5"/>
  <c r="Q12" i="5"/>
  <c r="R11" i="5"/>
  <c r="Q11" i="5"/>
  <c r="R10" i="5"/>
  <c r="Q10" i="5"/>
  <c r="R9" i="5"/>
  <c r="Q9" i="5"/>
  <c r="R8" i="5"/>
  <c r="Q8" i="5"/>
  <c r="R7" i="5"/>
  <c r="Q7" i="5"/>
  <c r="R6" i="5"/>
  <c r="Q6" i="5"/>
  <c r="R5" i="5"/>
  <c r="Q5" i="5"/>
  <c r="R4" i="5"/>
  <c r="Q4" i="5"/>
  <c r="AM16" i="5" l="1"/>
  <c r="AH17" i="5"/>
  <c r="AC17" i="5"/>
  <c r="X15" i="5"/>
  <c r="S12" i="5"/>
  <c r="S9" i="5"/>
  <c r="S11" i="5"/>
  <c r="S6" i="5"/>
  <c r="S10" i="5"/>
  <c r="S5" i="5"/>
  <c r="S14" i="5"/>
  <c r="S13" i="5"/>
  <c r="S8" i="5"/>
  <c r="S7" i="5"/>
  <c r="S4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S15" i="5" l="1"/>
  <c r="N13" i="5"/>
  <c r="N15" i="5"/>
  <c r="N11" i="5"/>
  <c r="N5" i="5"/>
  <c r="N7" i="5"/>
  <c r="N6" i="5"/>
  <c r="N16" i="5"/>
  <c r="N9" i="5"/>
  <c r="N17" i="5"/>
  <c r="N8" i="5"/>
  <c r="N10" i="5"/>
  <c r="N12" i="5"/>
  <c r="N14" i="5"/>
  <c r="N4" i="5"/>
  <c r="AM40" i="4"/>
  <c r="AL39" i="4"/>
  <c r="AK39" i="4"/>
  <c r="AM39" i="4" s="1"/>
  <c r="AL38" i="4"/>
  <c r="AK38" i="4"/>
  <c r="AM38" i="4" s="1"/>
  <c r="AL37" i="4"/>
  <c r="AK37" i="4"/>
  <c r="AL36" i="4"/>
  <c r="AM36" i="4"/>
  <c r="AK36" i="4"/>
  <c r="AL35" i="4"/>
  <c r="AK35" i="4"/>
  <c r="AM35" i="4" s="1"/>
  <c r="AL34" i="4"/>
  <c r="AK34" i="4"/>
  <c r="AL33" i="4"/>
  <c r="AK33" i="4"/>
  <c r="AL32" i="4"/>
  <c r="AK32" i="4"/>
  <c r="AL31" i="4"/>
  <c r="AK31" i="4"/>
  <c r="AL30" i="4"/>
  <c r="AK30" i="4"/>
  <c r="AM30" i="4" s="1"/>
  <c r="AL29" i="4"/>
  <c r="AK29" i="4"/>
  <c r="AL28" i="4"/>
  <c r="AK28" i="4"/>
  <c r="AL27" i="4"/>
  <c r="AK27" i="4"/>
  <c r="AL26" i="4"/>
  <c r="AM26" i="4" s="1"/>
  <c r="AK26" i="4"/>
  <c r="AM27" i="4"/>
  <c r="AM29" i="4"/>
  <c r="AM31" i="4"/>
  <c r="AM32" i="4"/>
  <c r="AM33" i="4"/>
  <c r="AM34" i="4"/>
  <c r="AM37" i="4"/>
  <c r="AL25" i="4"/>
  <c r="AK25" i="4"/>
  <c r="AM25" i="4"/>
  <c r="N18" i="5" l="1"/>
  <c r="AM28" i="4"/>
  <c r="AF36" i="4"/>
  <c r="AG36" i="4"/>
  <c r="AG35" i="4"/>
  <c r="AF35" i="4"/>
  <c r="AG34" i="4"/>
  <c r="AF34" i="4"/>
  <c r="AG33" i="4"/>
  <c r="AF33" i="4"/>
  <c r="AG32" i="4"/>
  <c r="AF32" i="4"/>
  <c r="AG31" i="4"/>
  <c r="AF31" i="4"/>
  <c r="AG30" i="4"/>
  <c r="AF30" i="4"/>
  <c r="AG29" i="4"/>
  <c r="AF29" i="4"/>
  <c r="AG28" i="4"/>
  <c r="AF28" i="4"/>
  <c r="AG27" i="4"/>
  <c r="AF27" i="4"/>
  <c r="AG26" i="4"/>
  <c r="AF26" i="4"/>
  <c r="AG25" i="4"/>
  <c r="AF25" i="4"/>
  <c r="AB34" i="4"/>
  <c r="AA34" i="4"/>
  <c r="AB33" i="4"/>
  <c r="AA33" i="4"/>
  <c r="AB32" i="4"/>
  <c r="AA32" i="4"/>
  <c r="AB31" i="4"/>
  <c r="AA31" i="4"/>
  <c r="AB30" i="4"/>
  <c r="AA30" i="4"/>
  <c r="AB29" i="4"/>
  <c r="AA29" i="4"/>
  <c r="AB28" i="4"/>
  <c r="AA28" i="4"/>
  <c r="AB27" i="4"/>
  <c r="AA27" i="4"/>
  <c r="AB26" i="4"/>
  <c r="AA26" i="4"/>
  <c r="AB25" i="4"/>
  <c r="AA25" i="4"/>
  <c r="W36" i="4"/>
  <c r="V36" i="4"/>
  <c r="W35" i="4"/>
  <c r="V35" i="4"/>
  <c r="W34" i="4"/>
  <c r="V34" i="4"/>
  <c r="W33" i="4"/>
  <c r="V33" i="4"/>
  <c r="W32" i="4"/>
  <c r="V32" i="4"/>
  <c r="W31" i="4"/>
  <c r="V31" i="4"/>
  <c r="W30" i="4"/>
  <c r="V30" i="4"/>
  <c r="W29" i="4"/>
  <c r="V29" i="4"/>
  <c r="W28" i="4"/>
  <c r="V28" i="4"/>
  <c r="W27" i="4"/>
  <c r="V27" i="4"/>
  <c r="W26" i="4"/>
  <c r="V26" i="4"/>
  <c r="W25" i="4"/>
  <c r="V25" i="4"/>
  <c r="R39" i="4"/>
  <c r="Q39" i="4"/>
  <c r="R38" i="4"/>
  <c r="Q38" i="4"/>
  <c r="R37" i="4"/>
  <c r="Q37" i="4"/>
  <c r="R36" i="4"/>
  <c r="Q36" i="4"/>
  <c r="R35" i="4"/>
  <c r="R34" i="4"/>
  <c r="Q34" i="4"/>
  <c r="Q35" i="4"/>
  <c r="R33" i="4"/>
  <c r="Q33" i="4"/>
  <c r="R32" i="4"/>
  <c r="Q32" i="4"/>
  <c r="R31" i="4"/>
  <c r="Q31" i="4"/>
  <c r="R30" i="4"/>
  <c r="Q30" i="4"/>
  <c r="R29" i="4"/>
  <c r="Q29" i="4"/>
  <c r="R28" i="4"/>
  <c r="Q28" i="4"/>
  <c r="R27" i="4"/>
  <c r="Q27" i="4"/>
  <c r="R26" i="4"/>
  <c r="Q26" i="4"/>
  <c r="R25" i="4"/>
  <c r="Q25" i="4"/>
  <c r="AH28" i="4" l="1"/>
  <c r="AH34" i="4"/>
  <c r="AH33" i="4"/>
  <c r="AH35" i="4"/>
  <c r="AH25" i="4"/>
  <c r="AH29" i="4"/>
  <c r="AH32" i="4"/>
  <c r="AH30" i="4"/>
  <c r="AH36" i="4"/>
  <c r="AH26" i="4"/>
  <c r="AH27" i="4"/>
  <c r="AH31" i="4"/>
  <c r="AC26" i="4"/>
  <c r="AC32" i="4"/>
  <c r="AC34" i="4"/>
  <c r="AC27" i="4"/>
  <c r="AC33" i="4"/>
  <c r="AC28" i="4"/>
  <c r="AC30" i="4"/>
  <c r="AC25" i="4"/>
  <c r="AC31" i="4"/>
  <c r="AC29" i="4"/>
  <c r="X29" i="4"/>
  <c r="X34" i="4"/>
  <c r="X25" i="4"/>
  <c r="X28" i="4"/>
  <c r="X30" i="4"/>
  <c r="X32" i="4"/>
  <c r="X27" i="4"/>
  <c r="X31" i="4"/>
  <c r="X33" i="4"/>
  <c r="X26" i="4"/>
  <c r="X35" i="4"/>
  <c r="X36" i="4"/>
  <c r="S28" i="4"/>
  <c r="S32" i="4"/>
  <c r="S27" i="4"/>
  <c r="S31" i="4"/>
  <c r="S37" i="4"/>
  <c r="S34" i="4"/>
  <c r="S26" i="4"/>
  <c r="S30" i="4"/>
  <c r="S36" i="4"/>
  <c r="S25" i="4"/>
  <c r="S29" i="4"/>
  <c r="S33" i="4"/>
  <c r="S39" i="4"/>
  <c r="S35" i="4"/>
  <c r="S38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L30" i="4"/>
  <c r="M30" i="4"/>
  <c r="M29" i="4"/>
  <c r="L29" i="4"/>
  <c r="M28" i="4"/>
  <c r="L28" i="4"/>
  <c r="M27" i="4"/>
  <c r="L27" i="4"/>
  <c r="M26" i="4"/>
  <c r="L26" i="4"/>
  <c r="M25" i="4"/>
  <c r="L25" i="4"/>
  <c r="AL15" i="4"/>
  <c r="AK15" i="4"/>
  <c r="AL14" i="4"/>
  <c r="AK14" i="4"/>
  <c r="AL13" i="4"/>
  <c r="AK13" i="4"/>
  <c r="AL12" i="4"/>
  <c r="AK12" i="4"/>
  <c r="AL11" i="4"/>
  <c r="AK11" i="4"/>
  <c r="AL10" i="4"/>
  <c r="AK10" i="4"/>
  <c r="AL9" i="4"/>
  <c r="AK9" i="4"/>
  <c r="AL8" i="4"/>
  <c r="AK8" i="4"/>
  <c r="AL7" i="4"/>
  <c r="AK7" i="4"/>
  <c r="AL6" i="4"/>
  <c r="AK6" i="4"/>
  <c r="AL5" i="4"/>
  <c r="AK5" i="4"/>
  <c r="AL4" i="4"/>
  <c r="AK4" i="4"/>
  <c r="AH37" i="4" l="1"/>
  <c r="AC35" i="4"/>
  <c r="X37" i="4"/>
  <c r="S40" i="4"/>
  <c r="N26" i="4"/>
  <c r="N28" i="4"/>
  <c r="N32" i="4"/>
  <c r="N34" i="4"/>
  <c r="N36" i="4"/>
  <c r="N38" i="4"/>
  <c r="N33" i="4"/>
  <c r="AM6" i="4"/>
  <c r="AM10" i="4"/>
  <c r="AM12" i="4"/>
  <c r="N27" i="4"/>
  <c r="N29" i="4"/>
  <c r="N35" i="4"/>
  <c r="N37" i="4"/>
  <c r="N30" i="4"/>
  <c r="N25" i="4"/>
  <c r="N39" i="4"/>
  <c r="N31" i="4"/>
  <c r="AM9" i="4"/>
  <c r="AM15" i="4"/>
  <c r="AM8" i="4"/>
  <c r="AM14" i="4"/>
  <c r="AM5" i="4"/>
  <c r="AM7" i="4"/>
  <c r="AM13" i="4"/>
  <c r="AM11" i="4"/>
  <c r="AM4" i="4"/>
  <c r="AG14" i="4"/>
  <c r="AF14" i="4"/>
  <c r="AG13" i="4"/>
  <c r="AF13" i="4"/>
  <c r="AG12" i="4"/>
  <c r="AF12" i="4"/>
  <c r="AG11" i="4"/>
  <c r="AF11" i="4"/>
  <c r="AG10" i="4"/>
  <c r="AF10" i="4"/>
  <c r="AG9" i="4"/>
  <c r="AF9" i="4"/>
  <c r="AG8" i="4"/>
  <c r="AF8" i="4"/>
  <c r="AG7" i="4"/>
  <c r="AF7" i="4"/>
  <c r="AG6" i="4"/>
  <c r="AF6" i="4"/>
  <c r="AG5" i="4"/>
  <c r="AF5" i="4"/>
  <c r="AG4" i="4"/>
  <c r="AF4" i="4"/>
  <c r="AB15" i="4"/>
  <c r="AA15" i="4"/>
  <c r="AB14" i="4"/>
  <c r="AA14" i="4"/>
  <c r="AB13" i="4"/>
  <c r="AA13" i="4"/>
  <c r="AA12" i="4"/>
  <c r="AB12" i="4"/>
  <c r="AB11" i="4"/>
  <c r="AA11" i="4"/>
  <c r="AB10" i="4"/>
  <c r="AA10" i="4"/>
  <c r="AB9" i="4"/>
  <c r="AA9" i="4"/>
  <c r="AB8" i="4"/>
  <c r="AA8" i="4"/>
  <c r="AB7" i="4"/>
  <c r="AA7" i="4"/>
  <c r="AB6" i="4"/>
  <c r="AA6" i="4"/>
  <c r="AB5" i="4"/>
  <c r="AA5" i="4"/>
  <c r="AB4" i="4"/>
  <c r="AA4" i="4"/>
  <c r="N40" i="4" l="1"/>
  <c r="AH11" i="4"/>
  <c r="AH8" i="4"/>
  <c r="AH10" i="4"/>
  <c r="AH12" i="4"/>
  <c r="AH14" i="4"/>
  <c r="AH5" i="4"/>
  <c r="AH9" i="4"/>
  <c r="AH13" i="4"/>
  <c r="AH4" i="4"/>
  <c r="AH6" i="4"/>
  <c r="AH7" i="4"/>
  <c r="AC5" i="4"/>
  <c r="AC7" i="4"/>
  <c r="AC9" i="4"/>
  <c r="AC11" i="4"/>
  <c r="AC13" i="4"/>
  <c r="AC15" i="4"/>
  <c r="AC6" i="4"/>
  <c r="AC12" i="4"/>
  <c r="AC8" i="4"/>
  <c r="AC4" i="4"/>
  <c r="AC10" i="4"/>
  <c r="AC14" i="4"/>
  <c r="W18" i="4"/>
  <c r="V18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5" i="4"/>
  <c r="V5" i="4"/>
  <c r="W4" i="4"/>
  <c r="V4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Q10" i="4"/>
  <c r="R10" i="4"/>
  <c r="R9" i="4"/>
  <c r="Q9" i="4"/>
  <c r="R8" i="4"/>
  <c r="Q8" i="4"/>
  <c r="R7" i="4"/>
  <c r="Q7" i="4"/>
  <c r="R6" i="4"/>
  <c r="Q6" i="4"/>
  <c r="R5" i="4"/>
  <c r="Q5" i="4"/>
  <c r="R4" i="4"/>
  <c r="Q4" i="4"/>
  <c r="M20" i="4"/>
  <c r="M19" i="4"/>
  <c r="L19" i="4"/>
  <c r="M18" i="4"/>
  <c r="L18" i="4"/>
  <c r="M17" i="4"/>
  <c r="L17" i="4"/>
  <c r="M16" i="4"/>
  <c r="L16" i="4"/>
  <c r="M15" i="4"/>
  <c r="L15" i="4"/>
  <c r="M14" i="4"/>
  <c r="L14" i="4"/>
  <c r="L13" i="4"/>
  <c r="M13" i="4"/>
  <c r="M12" i="4"/>
  <c r="L12" i="4"/>
  <c r="M11" i="4"/>
  <c r="L11" i="4"/>
  <c r="M10" i="4"/>
  <c r="AH15" i="4" l="1"/>
  <c r="AC16" i="4"/>
  <c r="X7" i="4"/>
  <c r="X11" i="4"/>
  <c r="X10" i="4"/>
  <c r="X12" i="4"/>
  <c r="X14" i="4"/>
  <c r="X4" i="4"/>
  <c r="X5" i="4"/>
  <c r="X8" i="4"/>
  <c r="X18" i="4"/>
  <c r="X15" i="4"/>
  <c r="X16" i="4"/>
  <c r="X6" i="4"/>
  <c r="X17" i="4"/>
  <c r="X13" i="4"/>
  <c r="X9" i="4"/>
  <c r="S17" i="4"/>
  <c r="S6" i="4"/>
  <c r="S8" i="4"/>
  <c r="S10" i="4"/>
  <c r="S5" i="4"/>
  <c r="S7" i="4"/>
  <c r="S9" i="4"/>
  <c r="S11" i="4"/>
  <c r="S13" i="4"/>
  <c r="S15" i="4"/>
  <c r="S12" i="4"/>
  <c r="S14" i="4"/>
  <c r="S16" i="4"/>
  <c r="S4" i="4"/>
  <c r="L10" i="4"/>
  <c r="N10" i="4" s="1"/>
  <c r="M9" i="4"/>
  <c r="L9" i="4"/>
  <c r="L8" i="4"/>
  <c r="M8" i="4"/>
  <c r="M7" i="4"/>
  <c r="L7" i="4"/>
  <c r="M6" i="4"/>
  <c r="L6" i="4"/>
  <c r="M5" i="4"/>
  <c r="L5" i="4"/>
  <c r="N11" i="4"/>
  <c r="N12" i="4"/>
  <c r="N13" i="4"/>
  <c r="N14" i="4"/>
  <c r="N15" i="4"/>
  <c r="N16" i="4"/>
  <c r="N17" i="4"/>
  <c r="N18" i="4"/>
  <c r="N19" i="4"/>
  <c r="L20" i="4"/>
  <c r="N20" i="4" s="1"/>
  <c r="M4" i="4"/>
  <c r="L4" i="4"/>
  <c r="X19" i="4" l="1"/>
  <c r="S18" i="4"/>
  <c r="N7" i="4"/>
  <c r="N8" i="4"/>
  <c r="N4" i="4"/>
  <c r="N6" i="4"/>
  <c r="N9" i="4"/>
  <c r="N5" i="4"/>
  <c r="AC47" i="3"/>
  <c r="AB44" i="3"/>
  <c r="AA44" i="3"/>
  <c r="AC44" i="3" s="1"/>
  <c r="AB43" i="3"/>
  <c r="AC43" i="3" s="1"/>
  <c r="AA43" i="3"/>
  <c r="AB42" i="3"/>
  <c r="AA42" i="3"/>
  <c r="AB41" i="3"/>
  <c r="AA41" i="3"/>
  <c r="AB40" i="3"/>
  <c r="AA40" i="3"/>
  <c r="AB39" i="3"/>
  <c r="AA39" i="3"/>
  <c r="AB38" i="3"/>
  <c r="AC38" i="3" s="1"/>
  <c r="AA38" i="3"/>
  <c r="AB37" i="3"/>
  <c r="AC37" i="3" s="1"/>
  <c r="AA37" i="3"/>
  <c r="AB36" i="3"/>
  <c r="AA36" i="3"/>
  <c r="AB35" i="3"/>
  <c r="AA35" i="3"/>
  <c r="AC35" i="3" s="1"/>
  <c r="AB34" i="3"/>
  <c r="AC34" i="3" s="1"/>
  <c r="AA34" i="3"/>
  <c r="AB45" i="3"/>
  <c r="AA45" i="3"/>
  <c r="AC45" i="3" s="1"/>
  <c r="AB46" i="3"/>
  <c r="AC46" i="3" s="1"/>
  <c r="AA46" i="3"/>
  <c r="AB33" i="3"/>
  <c r="AA33" i="3"/>
  <c r="AB32" i="3"/>
  <c r="AC32" i="3" s="1"/>
  <c r="AA32" i="3"/>
  <c r="AB31" i="3"/>
  <c r="AA31" i="3"/>
  <c r="AB30" i="3"/>
  <c r="AA30" i="3"/>
  <c r="AB29" i="3"/>
  <c r="AA29" i="3"/>
  <c r="AB28" i="3"/>
  <c r="AA28" i="3"/>
  <c r="AC28" i="3"/>
  <c r="AC29" i="3"/>
  <c r="AC30" i="3"/>
  <c r="AC31" i="3"/>
  <c r="AC33" i="3"/>
  <c r="AC36" i="3"/>
  <c r="AC39" i="3"/>
  <c r="AC40" i="3"/>
  <c r="AC41" i="3"/>
  <c r="AC42" i="3"/>
  <c r="AB27" i="3"/>
  <c r="AC27" i="3" s="1"/>
  <c r="AA27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43" i="3"/>
  <c r="V43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M40" i="3"/>
  <c r="L40" i="3"/>
  <c r="M39" i="3"/>
  <c r="L39" i="3"/>
  <c r="M38" i="3"/>
  <c r="L38" i="3"/>
  <c r="M37" i="3"/>
  <c r="L37" i="3"/>
  <c r="L36" i="3"/>
  <c r="M36" i="3"/>
  <c r="M35" i="3"/>
  <c r="L35" i="3"/>
  <c r="L34" i="3"/>
  <c r="M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N21" i="4" l="1"/>
  <c r="X29" i="3"/>
  <c r="X38" i="3"/>
  <c r="X40" i="3"/>
  <c r="X42" i="3"/>
  <c r="X32" i="3"/>
  <c r="X27" i="3"/>
  <c r="X34" i="3"/>
  <c r="X43" i="3"/>
  <c r="X37" i="3"/>
  <c r="X39" i="3"/>
  <c r="X41" i="3"/>
  <c r="X31" i="3"/>
  <c r="X35" i="3"/>
  <c r="X36" i="3"/>
  <c r="X28" i="3"/>
  <c r="X30" i="3"/>
  <c r="X33" i="3"/>
  <c r="S26" i="3"/>
  <c r="S28" i="3"/>
  <c r="S30" i="3"/>
  <c r="S43" i="3"/>
  <c r="S36" i="3"/>
  <c r="S38" i="3"/>
  <c r="S40" i="3"/>
  <c r="S32" i="3"/>
  <c r="S27" i="3"/>
  <c r="S29" i="3"/>
  <c r="S35" i="3"/>
  <c r="S37" i="3"/>
  <c r="S39" i="3"/>
  <c r="S41" i="3"/>
  <c r="S45" i="3"/>
  <c r="S47" i="3"/>
  <c r="S31" i="3"/>
  <c r="S33" i="3"/>
  <c r="S42" i="3"/>
  <c r="S44" i="3"/>
  <c r="S46" i="3"/>
  <c r="S34" i="3"/>
  <c r="S25" i="3"/>
  <c r="N30" i="3"/>
  <c r="N35" i="3"/>
  <c r="N37" i="3"/>
  <c r="N39" i="3"/>
  <c r="N27" i="3"/>
  <c r="N29" i="3"/>
  <c r="N31" i="3"/>
  <c r="N33" i="3"/>
  <c r="N26" i="3"/>
  <c r="N34" i="3"/>
  <c r="N38" i="3"/>
  <c r="N40" i="3"/>
  <c r="N36" i="3"/>
  <c r="N32" i="3"/>
  <c r="N28" i="3"/>
  <c r="N25" i="3"/>
  <c r="AV23" i="3"/>
  <c r="AU23" i="3"/>
  <c r="AV22" i="3"/>
  <c r="AU22" i="3"/>
  <c r="AV21" i="3"/>
  <c r="AU21" i="3"/>
  <c r="AV20" i="3"/>
  <c r="AU20" i="3"/>
  <c r="AV19" i="3"/>
  <c r="AU19" i="3"/>
  <c r="AV18" i="3"/>
  <c r="AQ17" i="3"/>
  <c r="AU18" i="3"/>
  <c r="AV17" i="3"/>
  <c r="AU17" i="3"/>
  <c r="AV16" i="3"/>
  <c r="AU16" i="3"/>
  <c r="AU15" i="3"/>
  <c r="AV15" i="3"/>
  <c r="AV14" i="3"/>
  <c r="AU14" i="3"/>
  <c r="AV13" i="3"/>
  <c r="AU13" i="3"/>
  <c r="AV12" i="3"/>
  <c r="AU12" i="3"/>
  <c r="AV11" i="3"/>
  <c r="AU11" i="3"/>
  <c r="AU10" i="3"/>
  <c r="AV10" i="3"/>
  <c r="AV9" i="3"/>
  <c r="AU9" i="3"/>
  <c r="X44" i="3" l="1"/>
  <c r="S48" i="3"/>
  <c r="N41" i="3"/>
  <c r="AV8" i="3"/>
  <c r="AU8" i="3"/>
  <c r="AV7" i="3"/>
  <c r="AU7" i="3"/>
  <c r="AV6" i="3"/>
  <c r="AU6" i="3"/>
  <c r="AV5" i="3"/>
  <c r="AU5" i="3"/>
  <c r="AV4" i="3"/>
  <c r="AU4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V3" i="3"/>
  <c r="AU3" i="3"/>
  <c r="AW4" i="3" l="1"/>
  <c r="AW6" i="3"/>
  <c r="AW3" i="3"/>
  <c r="AW5" i="3"/>
  <c r="AW7" i="3"/>
  <c r="AW8" i="3"/>
  <c r="AQ21" i="3"/>
  <c r="AP21" i="3"/>
  <c r="AQ20" i="3"/>
  <c r="AP20" i="3"/>
  <c r="AQ19" i="3"/>
  <c r="AP19" i="3"/>
  <c r="AQ18" i="3"/>
  <c r="AP18" i="3"/>
  <c r="AP17" i="3"/>
  <c r="AQ16" i="3"/>
  <c r="AP16" i="3"/>
  <c r="AQ15" i="3"/>
  <c r="AP15" i="3"/>
  <c r="AQ14" i="3"/>
  <c r="AP14" i="3"/>
  <c r="AQ13" i="3"/>
  <c r="AP13" i="3"/>
  <c r="AQ12" i="3"/>
  <c r="AP12" i="3"/>
  <c r="AQ11" i="3"/>
  <c r="AP11" i="3"/>
  <c r="AQ10" i="3"/>
  <c r="AP10" i="3"/>
  <c r="AQ9" i="3"/>
  <c r="AP9" i="3"/>
  <c r="AQ8" i="3"/>
  <c r="AP8" i="3"/>
  <c r="AQ7" i="3"/>
  <c r="AP7" i="3"/>
  <c r="AQ6" i="3"/>
  <c r="AP6" i="3"/>
  <c r="AQ5" i="3"/>
  <c r="AP5" i="3"/>
  <c r="AQ4" i="3"/>
  <c r="AP4" i="3"/>
  <c r="AQ3" i="3"/>
  <c r="AP3" i="3"/>
  <c r="AL21" i="3"/>
  <c r="AK21" i="3"/>
  <c r="AL20" i="3"/>
  <c r="AK20" i="3"/>
  <c r="AL19" i="3"/>
  <c r="AK19" i="3"/>
  <c r="AL18" i="3"/>
  <c r="AK18" i="3"/>
  <c r="AL17" i="3"/>
  <c r="AK17" i="3"/>
  <c r="AL16" i="3"/>
  <c r="AK16" i="3"/>
  <c r="AL15" i="3"/>
  <c r="AK15" i="3"/>
  <c r="AL14" i="3"/>
  <c r="AK14" i="3"/>
  <c r="AL13" i="3"/>
  <c r="AK13" i="3"/>
  <c r="AL12" i="3"/>
  <c r="AK12" i="3"/>
  <c r="AL11" i="3"/>
  <c r="AK11" i="3"/>
  <c r="AL10" i="3"/>
  <c r="AK10" i="3"/>
  <c r="AL9" i="3"/>
  <c r="AK9" i="3"/>
  <c r="AL8" i="3"/>
  <c r="AK8" i="3"/>
  <c r="AL7" i="3"/>
  <c r="AK7" i="3"/>
  <c r="AL6" i="3"/>
  <c r="AK6" i="3"/>
  <c r="AL5" i="3"/>
  <c r="AL4" i="3"/>
  <c r="AK5" i="3"/>
  <c r="AK4" i="3"/>
  <c r="AL3" i="3"/>
  <c r="AK3" i="3"/>
  <c r="AG18" i="3"/>
  <c r="AF18" i="3"/>
  <c r="AG17" i="3"/>
  <c r="AF17" i="3"/>
  <c r="AG16" i="3"/>
  <c r="AF16" i="3"/>
  <c r="AG15" i="3"/>
  <c r="AF15" i="3"/>
  <c r="AG14" i="3"/>
  <c r="AF14" i="3"/>
  <c r="AG13" i="3"/>
  <c r="AF13" i="3"/>
  <c r="AG12" i="3"/>
  <c r="AF12" i="3"/>
  <c r="AG11" i="3"/>
  <c r="AF11" i="3"/>
  <c r="AG10" i="3"/>
  <c r="AF10" i="3"/>
  <c r="AG9" i="3"/>
  <c r="AF9" i="3"/>
  <c r="AG8" i="3"/>
  <c r="AF8" i="3"/>
  <c r="AG7" i="3"/>
  <c r="AF7" i="3"/>
  <c r="AG6" i="3"/>
  <c r="AF6" i="3"/>
  <c r="AG5" i="3"/>
  <c r="AF5" i="3"/>
  <c r="AG4" i="3"/>
  <c r="AF4" i="3"/>
  <c r="AG3" i="3"/>
  <c r="AF3" i="3"/>
  <c r="AB18" i="3"/>
  <c r="AA18" i="3"/>
  <c r="AB17" i="3"/>
  <c r="AA17" i="3"/>
  <c r="AB16" i="3"/>
  <c r="AA16" i="3"/>
  <c r="AB15" i="3"/>
  <c r="Q4" i="3"/>
  <c r="AA15" i="3"/>
  <c r="AB14" i="3"/>
  <c r="AA14" i="3"/>
  <c r="AB13" i="3"/>
  <c r="AA13" i="3"/>
  <c r="AB12" i="3"/>
  <c r="AA12" i="3"/>
  <c r="AB11" i="3"/>
  <c r="AA11" i="3"/>
  <c r="AB10" i="3"/>
  <c r="AA10" i="3"/>
  <c r="AB9" i="3"/>
  <c r="AA9" i="3"/>
  <c r="AB8" i="3"/>
  <c r="AA8" i="3"/>
  <c r="AB7" i="3"/>
  <c r="AA7" i="3"/>
  <c r="AB6" i="3"/>
  <c r="AA6" i="3"/>
  <c r="AB5" i="3"/>
  <c r="AA5" i="3"/>
  <c r="AB4" i="3"/>
  <c r="AA4" i="3"/>
  <c r="AB3" i="3"/>
  <c r="AA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V10" i="3"/>
  <c r="W10" i="3"/>
  <c r="W9" i="3"/>
  <c r="V9" i="3"/>
  <c r="W8" i="3"/>
  <c r="V8" i="3"/>
  <c r="W7" i="3"/>
  <c r="V7" i="3"/>
  <c r="W6" i="3"/>
  <c r="V6" i="3"/>
  <c r="V5" i="3"/>
  <c r="W5" i="3"/>
  <c r="W4" i="3"/>
  <c r="V4" i="3"/>
  <c r="W3" i="3"/>
  <c r="V3" i="3"/>
  <c r="R14" i="3"/>
  <c r="Q14" i="3"/>
  <c r="R13" i="3"/>
  <c r="Q13" i="3"/>
  <c r="R12" i="3"/>
  <c r="Q12" i="3"/>
  <c r="R11" i="3"/>
  <c r="Q11" i="3"/>
  <c r="R10" i="3"/>
  <c r="Q10" i="3"/>
  <c r="R9" i="3"/>
  <c r="Q9" i="3"/>
  <c r="R8" i="3"/>
  <c r="Q8" i="3"/>
  <c r="R7" i="3"/>
  <c r="Q7" i="3"/>
  <c r="R6" i="3"/>
  <c r="Q6" i="3"/>
  <c r="R5" i="3"/>
  <c r="Q5" i="3"/>
  <c r="R4" i="3"/>
  <c r="R3" i="3"/>
  <c r="Q3" i="3"/>
  <c r="AW24" i="3" l="1"/>
  <c r="AR4" i="3"/>
  <c r="AR6" i="3"/>
  <c r="AR8" i="3"/>
  <c r="AR10" i="3"/>
  <c r="AR12" i="3"/>
  <c r="AR14" i="3"/>
  <c r="AR16" i="3"/>
  <c r="AR18" i="3"/>
  <c r="AR20" i="3"/>
  <c r="AR3" i="3"/>
  <c r="AR5" i="3"/>
  <c r="AR9" i="3"/>
  <c r="AR13" i="3"/>
  <c r="AR17" i="3"/>
  <c r="AR7" i="3"/>
  <c r="AR11" i="3"/>
  <c r="AR15" i="3"/>
  <c r="AR19" i="3"/>
  <c r="AR21" i="3"/>
  <c r="AM6" i="3"/>
  <c r="AM19" i="3"/>
  <c r="AM21" i="3"/>
  <c r="AM4" i="3"/>
  <c r="AM8" i="3"/>
  <c r="AM10" i="3"/>
  <c r="AM12" i="3"/>
  <c r="AM14" i="3"/>
  <c r="AM18" i="3"/>
  <c r="AM20" i="3"/>
  <c r="AM9" i="3"/>
  <c r="AM13" i="3"/>
  <c r="AM15" i="3"/>
  <c r="AM17" i="3"/>
  <c r="AM5" i="3"/>
  <c r="AM7" i="3"/>
  <c r="AM16" i="3"/>
  <c r="AM11" i="3"/>
  <c r="AM3" i="3"/>
  <c r="AH8" i="3"/>
  <c r="AH10" i="3"/>
  <c r="AH16" i="3"/>
  <c r="AH18" i="3"/>
  <c r="AH3" i="3"/>
  <c r="AH5" i="3"/>
  <c r="AH11" i="3"/>
  <c r="AH13" i="3"/>
  <c r="AH17" i="3"/>
  <c r="AH4" i="3"/>
  <c r="AH6" i="3"/>
  <c r="AH12" i="3"/>
  <c r="AH9" i="3"/>
  <c r="AH15" i="3"/>
  <c r="AH14" i="3"/>
  <c r="AH7" i="3"/>
  <c r="AC9" i="3"/>
  <c r="AC16" i="3"/>
  <c r="AC4" i="3"/>
  <c r="AC6" i="3"/>
  <c r="AC10" i="3"/>
  <c r="AC12" i="3"/>
  <c r="AC5" i="3"/>
  <c r="AC14" i="3"/>
  <c r="AC18" i="3"/>
  <c r="AC3" i="3"/>
  <c r="AC7" i="3"/>
  <c r="AC11" i="3"/>
  <c r="AC13" i="3"/>
  <c r="AC17" i="3"/>
  <c r="AC15" i="3"/>
  <c r="AC8" i="3"/>
  <c r="X6" i="3"/>
  <c r="X8" i="3"/>
  <c r="X12" i="3"/>
  <c r="X14" i="3"/>
  <c r="X18" i="3"/>
  <c r="X22" i="3"/>
  <c r="X11" i="3"/>
  <c r="X7" i="3"/>
  <c r="X17" i="3"/>
  <c r="X19" i="3"/>
  <c r="X4" i="3"/>
  <c r="X20" i="3"/>
  <c r="X3" i="3"/>
  <c r="X5" i="3"/>
  <c r="X13" i="3"/>
  <c r="X15" i="3"/>
  <c r="X21" i="3"/>
  <c r="X16" i="3"/>
  <c r="X10" i="3"/>
  <c r="X9" i="3"/>
  <c r="S5" i="3"/>
  <c r="S11" i="3"/>
  <c r="S3" i="3"/>
  <c r="S4" i="3"/>
  <c r="S6" i="3"/>
  <c r="S8" i="3"/>
  <c r="S12" i="3"/>
  <c r="S7" i="3"/>
  <c r="S9" i="3"/>
  <c r="S13" i="3"/>
  <c r="S10" i="3"/>
  <c r="S14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M8" i="3"/>
  <c r="L9" i="3"/>
  <c r="L8" i="3"/>
  <c r="M7" i="3"/>
  <c r="L7" i="3"/>
  <c r="M6" i="3"/>
  <c r="L6" i="3"/>
  <c r="M5" i="3"/>
  <c r="L5" i="3"/>
  <c r="M4" i="3"/>
  <c r="L4" i="3"/>
  <c r="M3" i="3"/>
  <c r="L3" i="3"/>
  <c r="AR22" i="3" l="1"/>
  <c r="AM22" i="3"/>
  <c r="AH19" i="3"/>
  <c r="AC19" i="3"/>
  <c r="X23" i="3"/>
  <c r="N10" i="3"/>
  <c r="N12" i="3"/>
  <c r="S15" i="3"/>
  <c r="N6" i="3"/>
  <c r="N11" i="3"/>
  <c r="N13" i="3"/>
  <c r="N15" i="3"/>
  <c r="N17" i="3"/>
  <c r="N19" i="3"/>
  <c r="N14" i="3"/>
  <c r="N16" i="3"/>
  <c r="N18" i="3"/>
  <c r="N7" i="3"/>
  <c r="N5" i="3"/>
  <c r="N3" i="3"/>
  <c r="N4" i="3"/>
  <c r="N9" i="3"/>
  <c r="N8" i="3"/>
  <c r="N20" i="3" l="1"/>
</calcChain>
</file>

<file path=xl/sharedStrings.xml><?xml version="1.0" encoding="utf-8"?>
<sst xmlns="http://schemas.openxmlformats.org/spreadsheetml/2006/main" count="8535" uniqueCount="920">
  <si>
    <t>NOMBRE</t>
  </si>
  <si>
    <t>FECHA DE REGISTRO</t>
  </si>
  <si>
    <t>MUJER</t>
  </si>
  <si>
    <t>HOMBRE</t>
  </si>
  <si>
    <t>SEXO</t>
  </si>
  <si>
    <t xml:space="preserve"> MUJER</t>
  </si>
  <si>
    <t xml:space="preserve"> HOMBRE</t>
  </si>
  <si>
    <t>01/01/218</t>
  </si>
  <si>
    <t>FECHA DE NACIMIENTO</t>
  </si>
  <si>
    <t>NOMBRE 1</t>
  </si>
  <si>
    <t>NOMBRE 2</t>
  </si>
  <si>
    <t>NOMBRE 3</t>
  </si>
  <si>
    <t>NOMBRE 4</t>
  </si>
  <si>
    <t>NOMBRE 5</t>
  </si>
  <si>
    <t>NOMBRE 6</t>
  </si>
  <si>
    <t>NOMBRE 7</t>
  </si>
  <si>
    <t>NOMBRE 8</t>
  </si>
  <si>
    <t>NOMBRE 9</t>
  </si>
  <si>
    <t>NOMBRE 10</t>
  </si>
  <si>
    <t>NOMBRE 11</t>
  </si>
  <si>
    <t>NOMBRE 12</t>
  </si>
  <si>
    <t>NOMBRE 13</t>
  </si>
  <si>
    <t>NOMBRE 14</t>
  </si>
  <si>
    <t>NOMBRE 15</t>
  </si>
  <si>
    <t>NOMBRE 16</t>
  </si>
  <si>
    <t>NOMBRE 17</t>
  </si>
  <si>
    <t>NOMBRE 18</t>
  </si>
  <si>
    <t>NOMBRE 19</t>
  </si>
  <si>
    <t>NOMBRE 20</t>
  </si>
  <si>
    <t>NOMBRE 21</t>
  </si>
  <si>
    <t>NOMBRE 22</t>
  </si>
  <si>
    <t>NOMBRE 23</t>
  </si>
  <si>
    <t>NOMBRE 24</t>
  </si>
  <si>
    <t>NOMBRE 25</t>
  </si>
  <si>
    <t>NOMBRE 26</t>
  </si>
  <si>
    <t>NOMBRE 27</t>
  </si>
  <si>
    <t>NOMBRE 28</t>
  </si>
  <si>
    <t>NOMBRE 29</t>
  </si>
  <si>
    <t>NOMBRE 30</t>
  </si>
  <si>
    <t>NOMBRE 31</t>
  </si>
  <si>
    <t>NOMBRE 32</t>
  </si>
  <si>
    <t>NOMBRE 33</t>
  </si>
  <si>
    <t>NOMBRE 34</t>
  </si>
  <si>
    <t>NOMBRE 35</t>
  </si>
  <si>
    <t>NOMBRE 36</t>
  </si>
  <si>
    <t>NOMBRE 37</t>
  </si>
  <si>
    <t>NOMBRE 38</t>
  </si>
  <si>
    <t>NOMBRE 39</t>
  </si>
  <si>
    <t>NOMBRE 40</t>
  </si>
  <si>
    <t>NOMBRE 41</t>
  </si>
  <si>
    <t>NOMBRE 42</t>
  </si>
  <si>
    <t>NOMBRE 43</t>
  </si>
  <si>
    <t>NOMBRE 44</t>
  </si>
  <si>
    <t>NOMBRE 45</t>
  </si>
  <si>
    <t>NOMBRE 46</t>
  </si>
  <si>
    <t>NOMBRE 47</t>
  </si>
  <si>
    <t>NOMBRE 48</t>
  </si>
  <si>
    <t>NOMBRE 49</t>
  </si>
  <si>
    <t>NOMBRE 50</t>
  </si>
  <si>
    <t>NOMBRE 51</t>
  </si>
  <si>
    <t>NOMBRE 52</t>
  </si>
  <si>
    <t>NOMBRE 53</t>
  </si>
  <si>
    <t>NOMBRE 54</t>
  </si>
  <si>
    <t>NOMBRE 55</t>
  </si>
  <si>
    <t>NOMBRE 56</t>
  </si>
  <si>
    <t>NOMBRE 57</t>
  </si>
  <si>
    <t>NOMBRE 58</t>
  </si>
  <si>
    <t>NOMBRE 59</t>
  </si>
  <si>
    <t>NOMBRE 60</t>
  </si>
  <si>
    <t>NOMBRE 61</t>
  </si>
  <si>
    <t>NOMBRE 62</t>
  </si>
  <si>
    <t>NOMBRE 63</t>
  </si>
  <si>
    <t>NOMBRE 64</t>
  </si>
  <si>
    <t>NOMBRE 65</t>
  </si>
  <si>
    <t>NOMBRE 66</t>
  </si>
  <si>
    <t>NOMBRE 67</t>
  </si>
  <si>
    <t>NOMBRE 68</t>
  </si>
  <si>
    <t>NOMBRE 69</t>
  </si>
  <si>
    <t>NOMBRE 70</t>
  </si>
  <si>
    <t>NOMBRE 71</t>
  </si>
  <si>
    <t>NOMBRE 72</t>
  </si>
  <si>
    <t>NOMBRE 73</t>
  </si>
  <si>
    <t>NOMBRE 74</t>
  </si>
  <si>
    <t>NOMBRE 75</t>
  </si>
  <si>
    <t>NOMBRE 76</t>
  </si>
  <si>
    <t>NOMBRE 77</t>
  </si>
  <si>
    <t>NOMBRE 78</t>
  </si>
  <si>
    <t>NOMBRE 79</t>
  </si>
  <si>
    <t>NOMBRE 80</t>
  </si>
  <si>
    <t>NOMBRE 81</t>
  </si>
  <si>
    <t>NOMBRE 82</t>
  </si>
  <si>
    <t>NOMBRE 83</t>
  </si>
  <si>
    <t>NOMBRE 84</t>
  </si>
  <si>
    <t>NOMBRE 85</t>
  </si>
  <si>
    <t>NOMBRE 86</t>
  </si>
  <si>
    <t>NOMBRE 87</t>
  </si>
  <si>
    <t>NOMBRE 88</t>
  </si>
  <si>
    <t>NOMBRE 89</t>
  </si>
  <si>
    <t>NOMBRE 90</t>
  </si>
  <si>
    <t>NOMBRE 91</t>
  </si>
  <si>
    <t>NOMBRE 92</t>
  </si>
  <si>
    <t>NOMBRE 93</t>
  </si>
  <si>
    <t>NOMBRE 94</t>
  </si>
  <si>
    <t>NOMBRE 95</t>
  </si>
  <si>
    <t>NOMBRE 96</t>
  </si>
  <si>
    <t>NOMBRE 97</t>
  </si>
  <si>
    <t>NOMBRE 98</t>
  </si>
  <si>
    <t>NOMBRE 99</t>
  </si>
  <si>
    <t>NOMBRE 100</t>
  </si>
  <si>
    <t>NOMBRE 101</t>
  </si>
  <si>
    <t>NOMBRE 102</t>
  </si>
  <si>
    <t>NOMBRE 103</t>
  </si>
  <si>
    <t>NOMBRE 104</t>
  </si>
  <si>
    <t>NOMBRE 105</t>
  </si>
  <si>
    <t>NOMBRE 106</t>
  </si>
  <si>
    <t>NOMBRE 107</t>
  </si>
  <si>
    <t>NOMBRE 108</t>
  </si>
  <si>
    <t>NOMBRE 109</t>
  </si>
  <si>
    <t>NOMBRE 110</t>
  </si>
  <si>
    <t>NOMBRE 111</t>
  </si>
  <si>
    <t>NOMBRE 112</t>
  </si>
  <si>
    <t>NOMBRE 113</t>
  </si>
  <si>
    <t>NOMBRE 114</t>
  </si>
  <si>
    <t>NOMBRE 115</t>
  </si>
  <si>
    <t>NOMBRE 116</t>
  </si>
  <si>
    <t>NOMBRE 117</t>
  </si>
  <si>
    <t>NOMBRE 118</t>
  </si>
  <si>
    <t>NOMBRE 119</t>
  </si>
  <si>
    <t>NOMBRE 120</t>
  </si>
  <si>
    <t>NOMBRE 121</t>
  </si>
  <si>
    <t>NOMBRE 122</t>
  </si>
  <si>
    <t>NOMBRE 123</t>
  </si>
  <si>
    <t>NOMBRE 124</t>
  </si>
  <si>
    <t>NOMBRE 125</t>
  </si>
  <si>
    <t>NOMBRE 126</t>
  </si>
  <si>
    <t>NOMBRE 127</t>
  </si>
  <si>
    <t>NOMBRE 128</t>
  </si>
  <si>
    <t>NOMBRE 129</t>
  </si>
  <si>
    <t>NOMBRE 130</t>
  </si>
  <si>
    <t>NOMBRE 131</t>
  </si>
  <si>
    <t>NOMBRE 132</t>
  </si>
  <si>
    <t>NOMBRE 133</t>
  </si>
  <si>
    <t>NOMBRE 134</t>
  </si>
  <si>
    <t>NOMBRE 135</t>
  </si>
  <si>
    <t>NOMBRE 136</t>
  </si>
  <si>
    <t>NOMBRE 137</t>
  </si>
  <si>
    <t>NOMBRE 138</t>
  </si>
  <si>
    <t>NOMBRE 139</t>
  </si>
  <si>
    <t>NOMBRE 140</t>
  </si>
  <si>
    <t>NOMBRE 141</t>
  </si>
  <si>
    <t>NOMBRE 142</t>
  </si>
  <si>
    <t>NOMBRE 143</t>
  </si>
  <si>
    <t>NOMBRE 144</t>
  </si>
  <si>
    <t>NOMBRE 145</t>
  </si>
  <si>
    <t>NOMBRE 146</t>
  </si>
  <si>
    <t>NOMBRE 147</t>
  </si>
  <si>
    <t>NOMBRE 148</t>
  </si>
  <si>
    <t>NOMBRE 149</t>
  </si>
  <si>
    <t>NOMBRE 150</t>
  </si>
  <si>
    <t>NOMBRE 151</t>
  </si>
  <si>
    <t>NOMBRE 152</t>
  </si>
  <si>
    <t>NOMBRE 153</t>
  </si>
  <si>
    <t>NOMBRE 154</t>
  </si>
  <si>
    <t>NOMBRE 155</t>
  </si>
  <si>
    <t>NOMBRE 156</t>
  </si>
  <si>
    <t>NOMBRE 157</t>
  </si>
  <si>
    <t>NOMBRE 158</t>
  </si>
  <si>
    <t>NOMBRE 159</t>
  </si>
  <si>
    <t>NOMBRE 160</t>
  </si>
  <si>
    <t>NOMBRE 161</t>
  </si>
  <si>
    <t>NOMBRE 162</t>
  </si>
  <si>
    <t>NOMBRE 163</t>
  </si>
  <si>
    <t>NOMBRE 164</t>
  </si>
  <si>
    <t>NOMBRE 165</t>
  </si>
  <si>
    <t>NOMBRE 166</t>
  </si>
  <si>
    <t>NOMBRE 167</t>
  </si>
  <si>
    <t>NOMBRE 168</t>
  </si>
  <si>
    <t>NOMBRE 169</t>
  </si>
  <si>
    <t>NOMBRE 170</t>
  </si>
  <si>
    <t>NOMBRE 171</t>
  </si>
  <si>
    <t>NOMBRE 172</t>
  </si>
  <si>
    <t>NOMBRE 173</t>
  </si>
  <si>
    <t>NOMBRE 174</t>
  </si>
  <si>
    <t>NOMBRE 175</t>
  </si>
  <si>
    <t>NOMBRE 176</t>
  </si>
  <si>
    <t>NOMBRE 177</t>
  </si>
  <si>
    <t>NOMBRE 178</t>
  </si>
  <si>
    <t>NOMBRE 179</t>
  </si>
  <si>
    <t>NOMBRE 180</t>
  </si>
  <si>
    <t>NOMBRE 181</t>
  </si>
  <si>
    <t>NOMBRE 182</t>
  </si>
  <si>
    <t>NOMBRE 183</t>
  </si>
  <si>
    <t>NOMBRE 184</t>
  </si>
  <si>
    <t>NOMBRE 185</t>
  </si>
  <si>
    <t>NOMBRE 186</t>
  </si>
  <si>
    <t>NOMBRE 187</t>
  </si>
  <si>
    <t>NOMBRE 188</t>
  </si>
  <si>
    <t>NOMBRE 189</t>
  </si>
  <si>
    <t>NOMBRE 190</t>
  </si>
  <si>
    <t>NOMBRE 191</t>
  </si>
  <si>
    <t>NOMBRE 192</t>
  </si>
  <si>
    <t>NOMBRE 193</t>
  </si>
  <si>
    <t>NOMBRE 194</t>
  </si>
  <si>
    <t>NOMBRE 195</t>
  </si>
  <si>
    <t>NOMBRE 196</t>
  </si>
  <si>
    <t>NOMBRE 197</t>
  </si>
  <si>
    <t>NOMBRE 198</t>
  </si>
  <si>
    <t>NOMBRE 199</t>
  </si>
  <si>
    <t>NOMBRE 200</t>
  </si>
  <si>
    <t>NOMBRE 201</t>
  </si>
  <si>
    <t>NOMBRE 202</t>
  </si>
  <si>
    <t>NOMBRE 203</t>
  </si>
  <si>
    <t>NOMBRE 204</t>
  </si>
  <si>
    <t>NOMBRE 205</t>
  </si>
  <si>
    <t>NOMBRE 206</t>
  </si>
  <si>
    <t>NOMBRE 207</t>
  </si>
  <si>
    <t>NOMBRE 208</t>
  </si>
  <si>
    <t>NOMBRE 209</t>
  </si>
  <si>
    <t>NOMBRE 210</t>
  </si>
  <si>
    <t>NOMBRE 211</t>
  </si>
  <si>
    <t>NOMBRE 212</t>
  </si>
  <si>
    <t>NOMBRE 213</t>
  </si>
  <si>
    <t>NOMBRE 214</t>
  </si>
  <si>
    <t>NOMBRE 215</t>
  </si>
  <si>
    <t>NOMBRE 216</t>
  </si>
  <si>
    <t>NOMBRE 217</t>
  </si>
  <si>
    <t>NOMBRE 218</t>
  </si>
  <si>
    <t>NOMBRE 219</t>
  </si>
  <si>
    <t>NOMBRE 220</t>
  </si>
  <si>
    <t>NOMBRE 221</t>
  </si>
  <si>
    <t>NOMBRE 222</t>
  </si>
  <si>
    <t>NOMBRE 223</t>
  </si>
  <si>
    <t>NOMBRE 224</t>
  </si>
  <si>
    <t>NOMBRE 225</t>
  </si>
  <si>
    <t>NOMBRE 226</t>
  </si>
  <si>
    <t>NOMBRE 227</t>
  </si>
  <si>
    <t>NOMBRE 228</t>
  </si>
  <si>
    <t>NOMBRE 229</t>
  </si>
  <si>
    <t>NOMBRE 230</t>
  </si>
  <si>
    <t>NOMBRE 231</t>
  </si>
  <si>
    <t>NOMBRE 232</t>
  </si>
  <si>
    <t>NOMBRE 233</t>
  </si>
  <si>
    <t>NOMBRE 234</t>
  </si>
  <si>
    <t>NOMBRE 235</t>
  </si>
  <si>
    <t>NOMBRE 236</t>
  </si>
  <si>
    <t>NOMBRE 237</t>
  </si>
  <si>
    <t>NOMBRE 238</t>
  </si>
  <si>
    <t>NOMBRE 239</t>
  </si>
  <si>
    <t>NOMBRE 240</t>
  </si>
  <si>
    <t>NOMBRE 241</t>
  </si>
  <si>
    <t>NOMBRE 242</t>
  </si>
  <si>
    <t>NOMBRE 243</t>
  </si>
  <si>
    <t>NOMBRE 244</t>
  </si>
  <si>
    <t>NOMBRE 245</t>
  </si>
  <si>
    <t>NOMBRE 246</t>
  </si>
  <si>
    <t>NOMBRE 247</t>
  </si>
  <si>
    <t>NOMBRE 248</t>
  </si>
  <si>
    <t>NOMBRE 249</t>
  </si>
  <si>
    <t>NOMBRE 250</t>
  </si>
  <si>
    <t>NOMBRE 251</t>
  </si>
  <si>
    <t>NOMBRE 252</t>
  </si>
  <si>
    <t>NOMBRE 253</t>
  </si>
  <si>
    <t>NOMBRE 254</t>
  </si>
  <si>
    <t>NOMBRE 255</t>
  </si>
  <si>
    <t>NOMBRE 256</t>
  </si>
  <si>
    <t>NOMBRE 257</t>
  </si>
  <si>
    <t>NOMBRE 258</t>
  </si>
  <si>
    <t>NOMBRE 259</t>
  </si>
  <si>
    <t>NOMBRE 260</t>
  </si>
  <si>
    <t>NOMBRE 261</t>
  </si>
  <si>
    <t>NOMBRE 262</t>
  </si>
  <si>
    <t>NOMBRE 263</t>
  </si>
  <si>
    <t>NOMBRE 264</t>
  </si>
  <si>
    <t>NOMBRE 265</t>
  </si>
  <si>
    <t>NOMBRE 266</t>
  </si>
  <si>
    <t>NOMBRE 267</t>
  </si>
  <si>
    <t>NOMBRE 268</t>
  </si>
  <si>
    <t>NOMBRE 269</t>
  </si>
  <si>
    <t>NOMBRE 270</t>
  </si>
  <si>
    <t>NOMBRE 271</t>
  </si>
  <si>
    <t>NOMBRE 272</t>
  </si>
  <si>
    <t>NOMBRE 273</t>
  </si>
  <si>
    <t>NOMBRE 274</t>
  </si>
  <si>
    <t>NOMBRE 275</t>
  </si>
  <si>
    <t>NOMBRE 276</t>
  </si>
  <si>
    <t>NOMBRE 277</t>
  </si>
  <si>
    <t>NOMBRE 278</t>
  </si>
  <si>
    <t>NOMBRE 279</t>
  </si>
  <si>
    <t>NOMBRE 280</t>
  </si>
  <si>
    <t>NOMBRE 281</t>
  </si>
  <si>
    <t>NOMBRE 282</t>
  </si>
  <si>
    <t>NOMBRE 283</t>
  </si>
  <si>
    <t>NOMBRE 284</t>
  </si>
  <si>
    <t>NOMBRE 285</t>
  </si>
  <si>
    <t>NOMBRE 286</t>
  </si>
  <si>
    <t>NOMBRE 287</t>
  </si>
  <si>
    <t>NOMBRE 288</t>
  </si>
  <si>
    <t>NOMBRE 289</t>
  </si>
  <si>
    <t>NOMBRE 290</t>
  </si>
  <si>
    <t>NOMBRE 291</t>
  </si>
  <si>
    <t>NOMBRE 292</t>
  </si>
  <si>
    <t>NOMBRE 293</t>
  </si>
  <si>
    <t>NOMBRE 294</t>
  </si>
  <si>
    <t>NOMBRE 295</t>
  </si>
  <si>
    <t>NOMBRE 296</t>
  </si>
  <si>
    <t>NOMBRE 297</t>
  </si>
  <si>
    <t>NOMBRE 298</t>
  </si>
  <si>
    <t>NOMBRE 299</t>
  </si>
  <si>
    <t>NOMBRE 300</t>
  </si>
  <si>
    <t>NOMBRE 301</t>
  </si>
  <si>
    <t>NOMBRE 302</t>
  </si>
  <si>
    <t>NOMBRE 303</t>
  </si>
  <si>
    <t>NOMBRE 304</t>
  </si>
  <si>
    <t>NOMBRE 305</t>
  </si>
  <si>
    <t>NOMBRE 306</t>
  </si>
  <si>
    <t>NOMBRE 307</t>
  </si>
  <si>
    <t>NOMBRE 308</t>
  </si>
  <si>
    <t>NOMBRE 309</t>
  </si>
  <si>
    <t>NOMBRE 310</t>
  </si>
  <si>
    <t>NOMBRE 311</t>
  </si>
  <si>
    <t>NOMBRE 312</t>
  </si>
  <si>
    <t>NOMBRE 313</t>
  </si>
  <si>
    <t>NOMBRE 314</t>
  </si>
  <si>
    <t>NOMBRE 315</t>
  </si>
  <si>
    <t>NOMBRE 316</t>
  </si>
  <si>
    <t>NOMBRE 317</t>
  </si>
  <si>
    <t>NOMBRE 318</t>
  </si>
  <si>
    <t>NOMBRE 319</t>
  </si>
  <si>
    <t>NOMBRE 320</t>
  </si>
  <si>
    <t>NOMBRE 321</t>
  </si>
  <si>
    <t>NOMBRE 322</t>
  </si>
  <si>
    <t>NOMBRE 323</t>
  </si>
  <si>
    <t>NOMBRE 324</t>
  </si>
  <si>
    <t>NOMBRE 325</t>
  </si>
  <si>
    <t>NOMBRE 326</t>
  </si>
  <si>
    <t>NOMBRE 327</t>
  </si>
  <si>
    <t>NOMBRE 328</t>
  </si>
  <si>
    <t>NOMBRE 329</t>
  </si>
  <si>
    <t>NOMBRE 330</t>
  </si>
  <si>
    <t>NOMBRE 331</t>
  </si>
  <si>
    <t>NOMBRE 332</t>
  </si>
  <si>
    <t>NOMBRE 333</t>
  </si>
  <si>
    <t>NOMBRE 334</t>
  </si>
  <si>
    <t>NOMBRE 335</t>
  </si>
  <si>
    <t>NOMBRE 336</t>
  </si>
  <si>
    <t>NOMBRE 337</t>
  </si>
  <si>
    <t>NOMBRE 338</t>
  </si>
  <si>
    <t>NOMBRE 339</t>
  </si>
  <si>
    <t>NOMBRE 340</t>
  </si>
  <si>
    <t>NOMBRE 341</t>
  </si>
  <si>
    <t>NOMBRE 342</t>
  </si>
  <si>
    <t>NOMBRE 343</t>
  </si>
  <si>
    <t>NOMBRE 344</t>
  </si>
  <si>
    <t>NOMBRE 345</t>
  </si>
  <si>
    <t>NOMBRE 346</t>
  </si>
  <si>
    <t>NOMBRE 347</t>
  </si>
  <si>
    <t>NOMBRE 348</t>
  </si>
  <si>
    <t>NOMBRE 349</t>
  </si>
  <si>
    <t>NOMBRE 350</t>
  </si>
  <si>
    <t>NOMBRE 351</t>
  </si>
  <si>
    <t>NOMBRE 352</t>
  </si>
  <si>
    <t>NOMBRE 353</t>
  </si>
  <si>
    <t>NOMBRE 354</t>
  </si>
  <si>
    <t>NOMBRE 355</t>
  </si>
  <si>
    <t>NOMBRE 356</t>
  </si>
  <si>
    <t>NOMBRE 357</t>
  </si>
  <si>
    <t>NOMBRE 358</t>
  </si>
  <si>
    <t>NOMBRE 359</t>
  </si>
  <si>
    <t>NOMBRE 360</t>
  </si>
  <si>
    <t>NOMBRE 361</t>
  </si>
  <si>
    <t>NOMBRE 362</t>
  </si>
  <si>
    <t>NOMBRE 363</t>
  </si>
  <si>
    <t>NOMBRE 364</t>
  </si>
  <si>
    <t>NOMBRE 365</t>
  </si>
  <si>
    <t>NOMBRE 366</t>
  </si>
  <si>
    <t>NOMBRE 367</t>
  </si>
  <si>
    <t>NOMBRE 368</t>
  </si>
  <si>
    <t>NOMBRE 369</t>
  </si>
  <si>
    <t>NOMBRE 370</t>
  </si>
  <si>
    <t>NOMBRE 371</t>
  </si>
  <si>
    <t>NOMBRE 372</t>
  </si>
  <si>
    <t>NOMBRE 373</t>
  </si>
  <si>
    <t>NOMBRE 374</t>
  </si>
  <si>
    <t>NOMBRE 375</t>
  </si>
  <si>
    <t>NOMBRE 376</t>
  </si>
  <si>
    <t>NOMBRE 377</t>
  </si>
  <si>
    <t>NOMBRE 378</t>
  </si>
  <si>
    <t>NOMBRE 379</t>
  </si>
  <si>
    <t>NOMBRE 380</t>
  </si>
  <si>
    <t>NOMBRE 381</t>
  </si>
  <si>
    <t>NOMBRE 382</t>
  </si>
  <si>
    <t>NOMBRE 383</t>
  </si>
  <si>
    <t>NOMBRE 384</t>
  </si>
  <si>
    <t>NOMBRE 385</t>
  </si>
  <si>
    <t>NOMBRE 386</t>
  </si>
  <si>
    <t>NOMBRE 387</t>
  </si>
  <si>
    <t>NOMBRE 388</t>
  </si>
  <si>
    <t>NOMBRE 389</t>
  </si>
  <si>
    <t>NOMBRE 390</t>
  </si>
  <si>
    <t>NOMBRE 391</t>
  </si>
  <si>
    <t>NOMBRE 392</t>
  </si>
  <si>
    <t>NOMBRE 393</t>
  </si>
  <si>
    <t>NOMBRE 394</t>
  </si>
  <si>
    <t>NOMBRE 395</t>
  </si>
  <si>
    <t>NOMBRE 396</t>
  </si>
  <si>
    <t>NOMBRE 397</t>
  </si>
  <si>
    <t>NOMBRE 398</t>
  </si>
  <si>
    <t>NOMBRE 399</t>
  </si>
  <si>
    <t>NOMBRE 400</t>
  </si>
  <si>
    <t>NOMBRE 401</t>
  </si>
  <si>
    <t>NOMBRE 402</t>
  </si>
  <si>
    <t>NOMBRE 403</t>
  </si>
  <si>
    <t>NOMBRE 404</t>
  </si>
  <si>
    <t>NOMBRE 405</t>
  </si>
  <si>
    <t>NOMBRE 406</t>
  </si>
  <si>
    <t>NOMBRE 407</t>
  </si>
  <si>
    <t>NOMBRE 408</t>
  </si>
  <si>
    <t>NOMBRE 409</t>
  </si>
  <si>
    <t>NOMBRE 410</t>
  </si>
  <si>
    <t>NOMBRE 411</t>
  </si>
  <si>
    <t>NOMBRE 412</t>
  </si>
  <si>
    <t>NOMBRE 413</t>
  </si>
  <si>
    <t>NOMBRE 414</t>
  </si>
  <si>
    <t>NOMBRE 415</t>
  </si>
  <si>
    <t>NOMBRE 416</t>
  </si>
  <si>
    <t>NOMBRE 417</t>
  </si>
  <si>
    <t>NOMBRE 418</t>
  </si>
  <si>
    <t>NOMBRE 419</t>
  </si>
  <si>
    <t>NOMBRE 420</t>
  </si>
  <si>
    <t>NOMBRE 421</t>
  </si>
  <si>
    <t>NOMBRE 422</t>
  </si>
  <si>
    <t>NOMBRE 423</t>
  </si>
  <si>
    <t>NOMBRE 424</t>
  </si>
  <si>
    <t>NOMBRE 425</t>
  </si>
  <si>
    <t>NOMBRE 426</t>
  </si>
  <si>
    <t>NOMBRE 427</t>
  </si>
  <si>
    <t>NOMBRE 428</t>
  </si>
  <si>
    <t>NOMBRE 429</t>
  </si>
  <si>
    <t>NOMBRE 430</t>
  </si>
  <si>
    <t>NOMBRE 431</t>
  </si>
  <si>
    <t>NOMBRE 432</t>
  </si>
  <si>
    <t>NOMBRE 433</t>
  </si>
  <si>
    <t>NOMBRE 434</t>
  </si>
  <si>
    <t>NOMBRE 435</t>
  </si>
  <si>
    <t>NOMBRE 436</t>
  </si>
  <si>
    <t>NOMBRE 437</t>
  </si>
  <si>
    <t>NOMBRE 438</t>
  </si>
  <si>
    <t>NOMBRE 439</t>
  </si>
  <si>
    <t>NOMBRE 440</t>
  </si>
  <si>
    <t>NOMBRE 441</t>
  </si>
  <si>
    <t>NOMBRE 442</t>
  </si>
  <si>
    <t>NOMBRE 443</t>
  </si>
  <si>
    <t>NOMBRE 444</t>
  </si>
  <si>
    <t>NOMBRE 445</t>
  </si>
  <si>
    <t>NOMBRE 446</t>
  </si>
  <si>
    <t>NOMBRE 447</t>
  </si>
  <si>
    <t>NOMBRE 448</t>
  </si>
  <si>
    <t>NOMBRE 449</t>
  </si>
  <si>
    <t>NOMBRE 450</t>
  </si>
  <si>
    <t>NOMBRE 451</t>
  </si>
  <si>
    <t>NOMBRE 452</t>
  </si>
  <si>
    <t>NOMBRE 453</t>
  </si>
  <si>
    <t>NOMBRE 454</t>
  </si>
  <si>
    <t>NOMBRE 455</t>
  </si>
  <si>
    <t>NOMBRE 456</t>
  </si>
  <si>
    <t>NOMBRE 457</t>
  </si>
  <si>
    <t>NOMBRE 458</t>
  </si>
  <si>
    <t>NOMBRE 459</t>
  </si>
  <si>
    <t>NOMBRE 460</t>
  </si>
  <si>
    <t>NOMBRE 461</t>
  </si>
  <si>
    <t>NOMBRE 462</t>
  </si>
  <si>
    <t>NOMBRE 463</t>
  </si>
  <si>
    <t>NOMBRE 464</t>
  </si>
  <si>
    <t>NOMBRE 465</t>
  </si>
  <si>
    <t>NOMBRE 466</t>
  </si>
  <si>
    <t>NOMBRE 467</t>
  </si>
  <si>
    <t>NOMBRE 468</t>
  </si>
  <si>
    <t>NOMBRE 469</t>
  </si>
  <si>
    <t>NOMBRE 470</t>
  </si>
  <si>
    <t>NOMBRE 471</t>
  </si>
  <si>
    <t>NOMBRE 472</t>
  </si>
  <si>
    <t>NOMBRE 473</t>
  </si>
  <si>
    <t>NOMBRE 474</t>
  </si>
  <si>
    <t>NOMBRE 475</t>
  </si>
  <si>
    <t>NOMBRE 476</t>
  </si>
  <si>
    <t>NOMBRE 477</t>
  </si>
  <si>
    <t>NOMBRE 478</t>
  </si>
  <si>
    <t>NOMBRE 479</t>
  </si>
  <si>
    <t>NOMBRE 480</t>
  </si>
  <si>
    <t>NOMBRE 481</t>
  </si>
  <si>
    <t>NOMBRE 482</t>
  </si>
  <si>
    <t>NOMBRE 483</t>
  </si>
  <si>
    <t>NOMBRE 484</t>
  </si>
  <si>
    <t>NOMBRE 485</t>
  </si>
  <si>
    <t>NOMBRE 486</t>
  </si>
  <si>
    <t>NOMBRE 487</t>
  </si>
  <si>
    <t>NOMBRE 488</t>
  </si>
  <si>
    <t>NOMBRE 489</t>
  </si>
  <si>
    <t>NOMBRE 490</t>
  </si>
  <si>
    <t>NOMBRE 491</t>
  </si>
  <si>
    <t>NOMBRE 492</t>
  </si>
  <si>
    <t>NOMBRE 493</t>
  </si>
  <si>
    <t>NOMBRE 494</t>
  </si>
  <si>
    <t>NOMBRE 495</t>
  </si>
  <si>
    <t>NOMBRE 496</t>
  </si>
  <si>
    <t>NOMBRE 497</t>
  </si>
  <si>
    <t>NOMBRE 498</t>
  </si>
  <si>
    <t>NOMBRE 499</t>
  </si>
  <si>
    <t>NOMBRE 500</t>
  </si>
  <si>
    <t>NOMBRE 501</t>
  </si>
  <si>
    <t>NOMBRE 502</t>
  </si>
  <si>
    <t>NOMBRE 503</t>
  </si>
  <si>
    <t>NOMBRE 504</t>
  </si>
  <si>
    <t>NOMBRE 505</t>
  </si>
  <si>
    <t>NOMBRE 506</t>
  </si>
  <si>
    <t>NOMBRE 507</t>
  </si>
  <si>
    <t>NOMBRE 508</t>
  </si>
  <si>
    <t>NOMBRE 509</t>
  </si>
  <si>
    <t>NOMBRE 510</t>
  </si>
  <si>
    <t>NOMBRE 511</t>
  </si>
  <si>
    <t>NOMBRE 512</t>
  </si>
  <si>
    <t>NOMBRE 513</t>
  </si>
  <si>
    <t>NOMBRE 514</t>
  </si>
  <si>
    <t>NOMBRE 515</t>
  </si>
  <si>
    <t>NOMBRE 516</t>
  </si>
  <si>
    <t>NOMBRE 517</t>
  </si>
  <si>
    <t>NOMBRE 518</t>
  </si>
  <si>
    <t>NOMBRE 519</t>
  </si>
  <si>
    <t>NOMBRE 520</t>
  </si>
  <si>
    <t>NOMBRE 521</t>
  </si>
  <si>
    <t>NOMBRE 522</t>
  </si>
  <si>
    <t>NOMBRE 523</t>
  </si>
  <si>
    <t>NOMBRE 524</t>
  </si>
  <si>
    <t>NOMBRE 525</t>
  </si>
  <si>
    <t>NOMBRE 526</t>
  </si>
  <si>
    <t>NOMBRE 527</t>
  </si>
  <si>
    <t>NOMBRE 528</t>
  </si>
  <si>
    <t>NOMBRE 529</t>
  </si>
  <si>
    <t>NOMBRE 530</t>
  </si>
  <si>
    <t>NOMBRE 531</t>
  </si>
  <si>
    <t>NOMBRE 532</t>
  </si>
  <si>
    <t>NOMBRE 533</t>
  </si>
  <si>
    <t>NOMBRE 534</t>
  </si>
  <si>
    <t>NOMBRE 535</t>
  </si>
  <si>
    <t>NOMBRE 536</t>
  </si>
  <si>
    <t>NOMBRE 537</t>
  </si>
  <si>
    <t>NOMBRE 538</t>
  </si>
  <si>
    <t>NOMBRE 539</t>
  </si>
  <si>
    <t>NOMBRE 540</t>
  </si>
  <si>
    <t>NOMBRE 541</t>
  </si>
  <si>
    <t>NOMBRE 542</t>
  </si>
  <si>
    <t>NOMBRE 543</t>
  </si>
  <si>
    <t>NOMBRE 544</t>
  </si>
  <si>
    <t>NOMBRE 545</t>
  </si>
  <si>
    <t>NOMBRE 546</t>
  </si>
  <si>
    <t>NOMBRE 547</t>
  </si>
  <si>
    <t>NOMBRE 548</t>
  </si>
  <si>
    <t>NOMBRE 549</t>
  </si>
  <si>
    <t>NOMBRE 550</t>
  </si>
  <si>
    <t>NOMBRE 551</t>
  </si>
  <si>
    <t>NOMBRE 552</t>
  </si>
  <si>
    <t>NOMBRE 553</t>
  </si>
  <si>
    <t>NOMBRE 554</t>
  </si>
  <si>
    <t>NOMBRE 555</t>
  </si>
  <si>
    <t>NOMBRE 556</t>
  </si>
  <si>
    <t>NOMBRE 557</t>
  </si>
  <si>
    <t>NOMBRE 558</t>
  </si>
  <si>
    <t>NOMBRE 559</t>
  </si>
  <si>
    <t>NOMBRE 560</t>
  </si>
  <si>
    <t>NOMBRE 561</t>
  </si>
  <si>
    <t>NOMBRE 562</t>
  </si>
  <si>
    <t>NOMBRE 563</t>
  </si>
  <si>
    <t>NOMBRE 564</t>
  </si>
  <si>
    <t>NOMBRE 565</t>
  </si>
  <si>
    <t>NOMBRE 566</t>
  </si>
  <si>
    <t>NOMBRE 567</t>
  </si>
  <si>
    <t>NOMBRE 568</t>
  </si>
  <si>
    <t>NOMBRE 569</t>
  </si>
  <si>
    <t>NOMBRE 570</t>
  </si>
  <si>
    <t>NOMBRE 571</t>
  </si>
  <si>
    <t>NOMBRE 572</t>
  </si>
  <si>
    <t>NOMBRE 573</t>
  </si>
  <si>
    <t>NOMBRE 574</t>
  </si>
  <si>
    <t>NOMBRE 575</t>
  </si>
  <si>
    <t>NOMBRE 576</t>
  </si>
  <si>
    <t>NOMBRE 577</t>
  </si>
  <si>
    <t>NOMBRE 578</t>
  </si>
  <si>
    <t>NOMBRE 579</t>
  </si>
  <si>
    <t>NOMBRE 580</t>
  </si>
  <si>
    <t>NOMBRE 581</t>
  </si>
  <si>
    <t>NOMBRE 582</t>
  </si>
  <si>
    <t>NOMBRE 583</t>
  </si>
  <si>
    <t>NOMBRE 584</t>
  </si>
  <si>
    <t>NOMBRE 585</t>
  </si>
  <si>
    <t>NOMBRE 586</t>
  </si>
  <si>
    <t>NOMBRE 587</t>
  </si>
  <si>
    <t>NOMBRE 588</t>
  </si>
  <si>
    <t>NOMBRE 589</t>
  </si>
  <si>
    <t>NOMBRE 590</t>
  </si>
  <si>
    <t>NOMBRE 591</t>
  </si>
  <si>
    <t>NOMBRE 592</t>
  </si>
  <si>
    <t>NOMBRE 593</t>
  </si>
  <si>
    <t>NOMBRE 594</t>
  </si>
  <si>
    <t>NOMBRE 595</t>
  </si>
  <si>
    <t>NOMBRE 596</t>
  </si>
  <si>
    <t>NOMBRE 597</t>
  </si>
  <si>
    <t>NOMBRE 598</t>
  </si>
  <si>
    <t>NOMBRE 599</t>
  </si>
  <si>
    <t>NOMBRE 600</t>
  </si>
  <si>
    <t>NOMBRE 601</t>
  </si>
  <si>
    <t>NOMBRE 602</t>
  </si>
  <si>
    <t>NOMBRE 603</t>
  </si>
  <si>
    <t>NOMBRE 604</t>
  </si>
  <si>
    <t>NOMBRE 605</t>
  </si>
  <si>
    <t>NOMBRE 606</t>
  </si>
  <si>
    <t>NOMBRE 607</t>
  </si>
  <si>
    <t>NOMBRE 608</t>
  </si>
  <si>
    <t>NOMBRE 609</t>
  </si>
  <si>
    <t>NOMBRE 610</t>
  </si>
  <si>
    <t>NOMBRE 611</t>
  </si>
  <si>
    <t>NOMBRE 612</t>
  </si>
  <si>
    <t>NOMBRE 613</t>
  </si>
  <si>
    <t>NOMBRE 614</t>
  </si>
  <si>
    <t>NOMBRE 615</t>
  </si>
  <si>
    <t>NOMBRE 616</t>
  </si>
  <si>
    <t>NOMBRE 617</t>
  </si>
  <si>
    <t>NOMBRE 618</t>
  </si>
  <si>
    <t>NOMBRE 619</t>
  </si>
  <si>
    <t>NOMBRE 620</t>
  </si>
  <si>
    <t>NOMBRE 621</t>
  </si>
  <si>
    <t>NOMBRE 622</t>
  </si>
  <si>
    <t>NOMBRE 623</t>
  </si>
  <si>
    <t>NOMBRE 624</t>
  </si>
  <si>
    <t>NOMBRE 625</t>
  </si>
  <si>
    <t>NOMBRE 626</t>
  </si>
  <si>
    <t>NOMBRE 627</t>
  </si>
  <si>
    <t>NOMBRE 628</t>
  </si>
  <si>
    <t>NOMBRE 629</t>
  </si>
  <si>
    <t>NOMBRE 630</t>
  </si>
  <si>
    <t>NOMBRE 631</t>
  </si>
  <si>
    <t>NOMBRE 632</t>
  </si>
  <si>
    <t>NOMBRE 633</t>
  </si>
  <si>
    <t>NOMBRE 634</t>
  </si>
  <si>
    <t>NOMBRE 635</t>
  </si>
  <si>
    <t>NOMBRE 636</t>
  </si>
  <si>
    <t>NOMBRE 637</t>
  </si>
  <si>
    <t>NOMBRE 638</t>
  </si>
  <si>
    <t>NOMBRE 639</t>
  </si>
  <si>
    <t>NOMBRE 640</t>
  </si>
  <si>
    <t>NOMBRE 641</t>
  </si>
  <si>
    <t>NOMBRE 642</t>
  </si>
  <si>
    <t>NOMBRE 643</t>
  </si>
  <si>
    <t>NOMBRE 644</t>
  </si>
  <si>
    <t>NOMBRE 645</t>
  </si>
  <si>
    <t>NOMBRE 646</t>
  </si>
  <si>
    <t>NOMBRE 647</t>
  </si>
  <si>
    <t>NOMBRE 648</t>
  </si>
  <si>
    <t>NOMBRE 649</t>
  </si>
  <si>
    <t>NOMBRE 650</t>
  </si>
  <si>
    <t>NOMBRE 651</t>
  </si>
  <si>
    <t>NOMBRE 652</t>
  </si>
  <si>
    <t>NOMBRE 653</t>
  </si>
  <si>
    <t>NOMBRE 654</t>
  </si>
  <si>
    <t>NOMBRE 655</t>
  </si>
  <si>
    <t>NOMBRE 656</t>
  </si>
  <si>
    <t>NOMBRE 657</t>
  </si>
  <si>
    <t>NOMBRE 658</t>
  </si>
  <si>
    <t>NOMBRE 659</t>
  </si>
  <si>
    <t>NOMBRE 660</t>
  </si>
  <si>
    <t>NOMBRE 661</t>
  </si>
  <si>
    <t>NOMBRE 662</t>
  </si>
  <si>
    <t>NOMBRE 663</t>
  </si>
  <si>
    <t>NOMBRE 664</t>
  </si>
  <si>
    <t>NOMBRE 665</t>
  </si>
  <si>
    <t>NOMBRE 666</t>
  </si>
  <si>
    <t>NOMBRE 667</t>
  </si>
  <si>
    <t>NOMBRE 668</t>
  </si>
  <si>
    <t>NOMBRE 669</t>
  </si>
  <si>
    <t>NOMBRE 670</t>
  </si>
  <si>
    <t>NOMBRE 671</t>
  </si>
  <si>
    <t>NOMBRE 672</t>
  </si>
  <si>
    <t>NOMBRE 673</t>
  </si>
  <si>
    <t>NOMBRE 674</t>
  </si>
  <si>
    <t>NOMBRE 675</t>
  </si>
  <si>
    <t>NOMBRE 676</t>
  </si>
  <si>
    <t>NOMBRE 677</t>
  </si>
  <si>
    <t>NOMBRE 678</t>
  </si>
  <si>
    <t>NOMBRE 679</t>
  </si>
  <si>
    <t>NOMBRE 680</t>
  </si>
  <si>
    <t>NOMBRE 681</t>
  </si>
  <si>
    <t>NOMBRE 682</t>
  </si>
  <si>
    <t>NOMBRE 683</t>
  </si>
  <si>
    <t>NOMBRE 684</t>
  </si>
  <si>
    <t>NOMBRE 685</t>
  </si>
  <si>
    <t>NOMBRE 686</t>
  </si>
  <si>
    <t>NOMBRE 687</t>
  </si>
  <si>
    <t>NOMBRE 688</t>
  </si>
  <si>
    <t>NOMBRE 689</t>
  </si>
  <si>
    <t>NOMBRE 690</t>
  </si>
  <si>
    <t>NOMBRE 691</t>
  </si>
  <si>
    <t>NOMBRE 692</t>
  </si>
  <si>
    <t>NOMBRE 693</t>
  </si>
  <si>
    <t>NOMBRE 694</t>
  </si>
  <si>
    <t>NOMBRE 695</t>
  </si>
  <si>
    <t>NOMBRE 696</t>
  </si>
  <si>
    <t>NOMBRE 697</t>
  </si>
  <si>
    <t>NOMBRE 698</t>
  </si>
  <si>
    <t>NOMBRE 699</t>
  </si>
  <si>
    <t>NOMBRE 700</t>
  </si>
  <si>
    <t>NOMBRE 701</t>
  </si>
  <si>
    <t>NOMBRE 702</t>
  </si>
  <si>
    <t>NOMBRE 703</t>
  </si>
  <si>
    <t>NOMBRE 704</t>
  </si>
  <si>
    <t>NOMBRE 705</t>
  </si>
  <si>
    <t>NOMBRE 706</t>
  </si>
  <si>
    <t>NOMBRE 707</t>
  </si>
  <si>
    <t>NOMBRE 708</t>
  </si>
  <si>
    <t>NOMBRE 709</t>
  </si>
  <si>
    <t>NOMBRE 710</t>
  </si>
  <si>
    <t>NOMBRE 711</t>
  </si>
  <si>
    <t>NOMBRE 712</t>
  </si>
  <si>
    <t>NOMBRE 713</t>
  </si>
  <si>
    <t>NOMBRE 714</t>
  </si>
  <si>
    <t>NOMBRE 715</t>
  </si>
  <si>
    <t>NOMBRE 716</t>
  </si>
  <si>
    <t>NOMBRE 717</t>
  </si>
  <si>
    <t>NOMBRE 718</t>
  </si>
  <si>
    <t>NOMBRE 719</t>
  </si>
  <si>
    <t>NOMBRE 720</t>
  </si>
  <si>
    <t>NOMBRE 721</t>
  </si>
  <si>
    <t>NOMBRE 722</t>
  </si>
  <si>
    <t>NOMBRE 723</t>
  </si>
  <si>
    <t>NOMBRE 724</t>
  </si>
  <si>
    <t>NOMBRE 725</t>
  </si>
  <si>
    <t>NOMBRE 726</t>
  </si>
  <si>
    <t>NOMBRE 727</t>
  </si>
  <si>
    <t>NOMBRE 728</t>
  </si>
  <si>
    <t>NOMBRE 729</t>
  </si>
  <si>
    <t>NOMBRE 730</t>
  </si>
  <si>
    <t>NOMBRE 731</t>
  </si>
  <si>
    <t>NOMBRE 732</t>
  </si>
  <si>
    <t>NOMBRE 733</t>
  </si>
  <si>
    <t>NOMBRE 734</t>
  </si>
  <si>
    <t>NOMBRE 735</t>
  </si>
  <si>
    <t>NOMBRE 736</t>
  </si>
  <si>
    <t>NOMBRE 737</t>
  </si>
  <si>
    <t>NOMBRE 738</t>
  </si>
  <si>
    <t>NOMBRE 739</t>
  </si>
  <si>
    <t>NOMBRE 740</t>
  </si>
  <si>
    <t>NOMBRE 741</t>
  </si>
  <si>
    <t>NOMBRE 742</t>
  </si>
  <si>
    <t>NOMBRE 743</t>
  </si>
  <si>
    <t>NOMBRE 744</t>
  </si>
  <si>
    <t>NOMBRE 745</t>
  </si>
  <si>
    <t>NOMBRE 746</t>
  </si>
  <si>
    <t>NOMBRE 747</t>
  </si>
  <si>
    <t>NOMBRE 748</t>
  </si>
  <si>
    <t>NOMBRE 749</t>
  </si>
  <si>
    <t>NOMBRE 750</t>
  </si>
  <si>
    <t>NOMBRE 751</t>
  </si>
  <si>
    <t>NOMBRE 752</t>
  </si>
  <si>
    <t>NOMBRE 753</t>
  </si>
  <si>
    <t>NOMBRE 754</t>
  </si>
  <si>
    <t>NOMBRE 755</t>
  </si>
  <si>
    <t>NOMBRE 756</t>
  </si>
  <si>
    <t>NOMBRE 757</t>
  </si>
  <si>
    <t>NOMBRE 758</t>
  </si>
  <si>
    <t>NOMBRE 759</t>
  </si>
  <si>
    <t>NOMBRE 760</t>
  </si>
  <si>
    <t>NOMBRE 761</t>
  </si>
  <si>
    <t>NOMBRE 762</t>
  </si>
  <si>
    <t>NOMBRE 763</t>
  </si>
  <si>
    <t>NOMBRE 764</t>
  </si>
  <si>
    <t>NOMBRE 765</t>
  </si>
  <si>
    <t>NOMBRE 766</t>
  </si>
  <si>
    <t>NOMBRE 767</t>
  </si>
  <si>
    <t>NOMBRE 768</t>
  </si>
  <si>
    <t>NOMBRE 769</t>
  </si>
  <si>
    <t>NOMBRE 770</t>
  </si>
  <si>
    <t>NOMBRE 771</t>
  </si>
  <si>
    <t>NOMBRE 772</t>
  </si>
  <si>
    <t>NOMBRE 773</t>
  </si>
  <si>
    <t>NOMBRE 774</t>
  </si>
  <si>
    <t>NOMBRE 775</t>
  </si>
  <si>
    <t>NOMBRE 776</t>
  </si>
  <si>
    <t>NOMBRE 777</t>
  </si>
  <si>
    <t>NOMBRE 778</t>
  </si>
  <si>
    <t>NOMBRE 779</t>
  </si>
  <si>
    <t>NOMBRE 780</t>
  </si>
  <si>
    <t>NOMBRE 781</t>
  </si>
  <si>
    <t>NOMBRE 782</t>
  </si>
  <si>
    <t>NOMBRE 783</t>
  </si>
  <si>
    <t>NOMBRE 784</t>
  </si>
  <si>
    <t>NOMBRE 785</t>
  </si>
  <si>
    <t>NOMBRE 786</t>
  </si>
  <si>
    <t>NOMBRE 787</t>
  </si>
  <si>
    <t>NOMBRE 788</t>
  </si>
  <si>
    <t>NOMBRE 789</t>
  </si>
  <si>
    <t>NOMBRE 790</t>
  </si>
  <si>
    <t>NOMBRE 791</t>
  </si>
  <si>
    <t>NOMBRE 792</t>
  </si>
  <si>
    <t>NOMBRE 793</t>
  </si>
  <si>
    <t>NOMBRE 794</t>
  </si>
  <si>
    <t>NOMBRE 795</t>
  </si>
  <si>
    <t>NOMBRE 796</t>
  </si>
  <si>
    <t>NOMBRE 797</t>
  </si>
  <si>
    <t>NOMBRE 798</t>
  </si>
  <si>
    <t>NOMBRE 799</t>
  </si>
  <si>
    <t>NOMBRE 800</t>
  </si>
  <si>
    <t>NOMBRE 801</t>
  </si>
  <si>
    <t>NOMBRE 802</t>
  </si>
  <si>
    <t>NOMBRE 803</t>
  </si>
  <si>
    <t>NOMBRE 804</t>
  </si>
  <si>
    <t>NOMBRE 805</t>
  </si>
  <si>
    <t>NOMBRE 806</t>
  </si>
  <si>
    <t>NOMBRE 807</t>
  </si>
  <si>
    <t>NOMBRE 808</t>
  </si>
  <si>
    <t>NOMBRE 809</t>
  </si>
  <si>
    <t>NOMBRE 810</t>
  </si>
  <si>
    <t>NOMBRE 811</t>
  </si>
  <si>
    <t>NOMBRE 812</t>
  </si>
  <si>
    <t>NOMBRE 813</t>
  </si>
  <si>
    <t>NOMBRE 814</t>
  </si>
  <si>
    <t>NOMBRE 815</t>
  </si>
  <si>
    <t>NOMBRE 816</t>
  </si>
  <si>
    <t>NOMBRE 817</t>
  </si>
  <si>
    <t>NOMBRE 818</t>
  </si>
  <si>
    <t>NOMBRE 819</t>
  </si>
  <si>
    <t>NOMBRE 820</t>
  </si>
  <si>
    <t>NOMBRE 821</t>
  </si>
  <si>
    <t>NOMBRE 822</t>
  </si>
  <si>
    <t>NOMBRE 823</t>
  </si>
  <si>
    <t>NOMBRE 824</t>
  </si>
  <si>
    <t>NOMBRE 825</t>
  </si>
  <si>
    <t>NOMBRE 826</t>
  </si>
  <si>
    <t>NOMBRE 827</t>
  </si>
  <si>
    <t>NOMBRE 828</t>
  </si>
  <si>
    <t>NOMBRE 829</t>
  </si>
  <si>
    <t>NOMBRE 830</t>
  </si>
  <si>
    <t>NOMBRE 831</t>
  </si>
  <si>
    <t>NOMBRE 832</t>
  </si>
  <si>
    <t>NOMBRE 833</t>
  </si>
  <si>
    <t>NOMBRE 834</t>
  </si>
  <si>
    <t>NOMBRE 835</t>
  </si>
  <si>
    <t>NOMBRE 836</t>
  </si>
  <si>
    <t>NOMBRE 837</t>
  </si>
  <si>
    <t>NOMBRE 838</t>
  </si>
  <si>
    <t>NOMBRE 839</t>
  </si>
  <si>
    <t>NOMBRE 840</t>
  </si>
  <si>
    <t>NOMBRE 841</t>
  </si>
  <si>
    <t>NOMBRE 842</t>
  </si>
  <si>
    <t>NOMBRE 843</t>
  </si>
  <si>
    <t>NOMBRE 844</t>
  </si>
  <si>
    <t xml:space="preserve">DIA </t>
  </si>
  <si>
    <t xml:space="preserve">MES </t>
  </si>
  <si>
    <t>AÑO</t>
  </si>
  <si>
    <t>ENERO</t>
  </si>
  <si>
    <t>DICIEMBRE</t>
  </si>
  <si>
    <t>NOVIEMBRE</t>
  </si>
  <si>
    <t>TOTALES</t>
  </si>
  <si>
    <t>DIA</t>
  </si>
  <si>
    <t>FEBRERO</t>
  </si>
  <si>
    <t>H/M</t>
  </si>
  <si>
    <t>SEPTIEMBRE</t>
  </si>
  <si>
    <t>JULIO</t>
  </si>
  <si>
    <t>ABRIL</t>
  </si>
  <si>
    <t>MAYO</t>
  </si>
  <si>
    <t>MARZO</t>
  </si>
  <si>
    <t>JUNIO</t>
  </si>
  <si>
    <t>AGOSTO</t>
  </si>
  <si>
    <t>OCTUBRE</t>
  </si>
  <si>
    <t>TOTAL DE REGISTROS</t>
  </si>
  <si>
    <t>TOTALES REGISTRO ENERO 2017</t>
  </si>
  <si>
    <t>TOTALES REGISTRO FEBRERO 2017</t>
  </si>
  <si>
    <t>TOTALES REGISTRO MARZO 2017</t>
  </si>
  <si>
    <t>TOTALES REGISTRO ABRIL 2017</t>
  </si>
  <si>
    <t>TOTALES REGISTRO MAYO 2017</t>
  </si>
  <si>
    <t>TOTALES REGISTRO JUNIO 2017</t>
  </si>
  <si>
    <t>SPTIEMBRE</t>
  </si>
  <si>
    <t>TUBRE</t>
  </si>
  <si>
    <t>TOTALES REGISTRO JULIO 2017</t>
  </si>
  <si>
    <t>MARO</t>
  </si>
  <si>
    <t>TOTALES REGISTRO AGOSTO 2017</t>
  </si>
  <si>
    <t>TOTALES REGISTRO SEPTIEMBRE 2017</t>
  </si>
  <si>
    <t>TOTALES REGISTRO OCTUBRE 2017</t>
  </si>
  <si>
    <t>TOTALES REGISTRO NOVIEMBRE 2017</t>
  </si>
  <si>
    <t>TOTALES REGISTRO DICIEMBRE 2017</t>
  </si>
  <si>
    <t>TOTALES REGISTRO ENERO 2018</t>
  </si>
  <si>
    <t>TOTALES REGISTRO FEBRERO 2018</t>
  </si>
  <si>
    <t>TOTALES REGISTRO MARZO2018</t>
  </si>
  <si>
    <t>TOTALES REGISTRO ABRIL 2018</t>
  </si>
  <si>
    <t>TOTALES REGISTRO MAYO 2018</t>
  </si>
  <si>
    <t>TOTALES REGISTRO JUNIO 2018</t>
  </si>
  <si>
    <t>TOTALES REGISTRO JULIO 2018</t>
  </si>
  <si>
    <t>TOTALES REGISTRO AGOSTO 2018</t>
  </si>
  <si>
    <t>TOTALES REGISTRO SEPTIEMBRE 2018</t>
  </si>
  <si>
    <t>TOTALES REGISTRO OCTUBRE 2018</t>
  </si>
  <si>
    <t>TOTALES REGISTRO NOVIEMBRE 2018</t>
  </si>
  <si>
    <t>TOTALES REGISTRO DICIEMBRE 2018</t>
  </si>
  <si>
    <t>SEPTIMBRE</t>
  </si>
  <si>
    <t>TOTALES REGISTRO ENERO 2019</t>
  </si>
  <si>
    <t>TOTALES REGISTRO FEBRERO 2019</t>
  </si>
  <si>
    <t>TOTALES REGISTRO MARZO 2019</t>
  </si>
  <si>
    <t>TOTALES REGISTRO ABRIL 2019</t>
  </si>
  <si>
    <t>TOTALES REGISTRO MAYO 2019</t>
  </si>
  <si>
    <t>TOTALES REGISTRO JUNIO 2019</t>
  </si>
  <si>
    <t>TOTALES REGISTRO JULIO 2019</t>
  </si>
  <si>
    <t>TOTALES REGISTRO AGOSTO 2019</t>
  </si>
  <si>
    <t>TOTALES REGISTRO SEPTIEMBRE 2019</t>
  </si>
  <si>
    <t>D</t>
  </si>
  <si>
    <t>TOTALES REGISTRO OCTUBRE 2019</t>
  </si>
  <si>
    <t>TOTALES REGISTRO NOVIEMBRE 2019</t>
  </si>
  <si>
    <t>TOTALES REGISTRO DICIEMBRE 2019</t>
  </si>
  <si>
    <t>TOTALES REGISTRO ENERO 2020</t>
  </si>
  <si>
    <t>TOTALES REGISTRO FEBRERO 2020</t>
  </si>
  <si>
    <t>TOTALES REGISTRO MARZO 2020</t>
  </si>
  <si>
    <t>TOTALES REGISTRO ABRIL 2020</t>
  </si>
  <si>
    <t>TOTALES REGISTRO MAYO 2020</t>
  </si>
  <si>
    <t>TOTALES REGISTRO JUNIO 2020</t>
  </si>
  <si>
    <t>TOTALES REGISTRO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</si>
</sst>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3" borderId="2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6" borderId="8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846"/>
  <sheetViews>
    <sheetView workbookViewId="0">
      <selection activeCell="K20" sqref="K20:M20"/>
    </sheetView>
  </sheetViews>
  <sheetFormatPr baseColWidth="10" defaultRowHeight="15" x14ac:dyDescent="0.25"/>
  <cols>
    <col min="1" max="1" width="3.85546875" customWidth="1"/>
    <col min="5" max="5" width="18.140625" customWidth="1"/>
    <col min="10" max="10" width="5.5703125" customWidth="1"/>
    <col min="11" max="11" width="8.85546875" customWidth="1"/>
    <col min="13" max="13" width="10.140625" customWidth="1"/>
    <col min="15" max="15" width="4.5703125" customWidth="1"/>
    <col min="16" max="16" width="8.42578125" customWidth="1"/>
    <col min="17" max="17" width="9.7109375" customWidth="1"/>
    <col min="18" max="18" width="12.85546875" customWidth="1"/>
    <col min="19" max="19" width="9.42578125" customWidth="1"/>
    <col min="20" max="20" width="4.85546875" customWidth="1"/>
    <col min="22" max="22" width="11.85546875" bestFit="1" customWidth="1"/>
    <col min="25" max="25" width="4.85546875" customWidth="1"/>
    <col min="30" max="30" width="5.140625" customWidth="1"/>
    <col min="32" max="32" width="11.85546875" bestFit="1" customWidth="1"/>
    <col min="35" max="35" width="5.28515625" customWidth="1"/>
    <col min="36" max="36" width="9" customWidth="1"/>
    <col min="37" max="37" width="9.85546875" customWidth="1"/>
    <col min="38" max="38" width="10.140625" customWidth="1"/>
    <col min="40" max="40" width="3.85546875" customWidth="1"/>
    <col min="45" max="45" width="5.140625" customWidth="1"/>
    <col min="50" max="50" width="4.7109375" customWidth="1"/>
  </cols>
  <sheetData>
    <row r="1" spans="2:54" x14ac:dyDescent="0.25">
      <c r="B1" s="6" t="s">
        <v>0</v>
      </c>
      <c r="C1" s="49" t="s">
        <v>1</v>
      </c>
      <c r="D1" s="50"/>
      <c r="E1" s="51"/>
      <c r="F1" s="52" t="s">
        <v>8</v>
      </c>
      <c r="G1" s="53"/>
      <c r="H1" s="54"/>
      <c r="I1" s="13" t="s">
        <v>4</v>
      </c>
      <c r="K1" s="47" t="s">
        <v>872</v>
      </c>
      <c r="L1" s="47"/>
      <c r="M1" s="47"/>
      <c r="N1" s="22" t="s">
        <v>859</v>
      </c>
      <c r="P1" s="47" t="s">
        <v>873</v>
      </c>
      <c r="Q1" s="47"/>
      <c r="R1" s="47"/>
      <c r="S1" s="22" t="s">
        <v>859</v>
      </c>
      <c r="U1" s="47" t="s">
        <v>874</v>
      </c>
      <c r="V1" s="47"/>
      <c r="W1" s="47"/>
      <c r="X1" s="22" t="s">
        <v>859</v>
      </c>
      <c r="Z1" s="47" t="s">
        <v>875</v>
      </c>
      <c r="AA1" s="47"/>
      <c r="AB1" s="47"/>
      <c r="AC1" s="22" t="s">
        <v>859</v>
      </c>
      <c r="AE1" s="47" t="s">
        <v>876</v>
      </c>
      <c r="AF1" s="47"/>
      <c r="AG1" s="47"/>
      <c r="AH1" s="22" t="s">
        <v>859</v>
      </c>
      <c r="AJ1" s="47" t="s">
        <v>877</v>
      </c>
      <c r="AK1" s="47"/>
      <c r="AL1" s="47"/>
      <c r="AM1" s="22" t="s">
        <v>859</v>
      </c>
      <c r="AO1" s="47" t="s">
        <v>880</v>
      </c>
      <c r="AP1" s="47"/>
      <c r="AQ1" s="47"/>
      <c r="AR1" s="22" t="s">
        <v>859</v>
      </c>
      <c r="AT1" s="47" t="s">
        <v>882</v>
      </c>
      <c r="AU1" s="47"/>
      <c r="AV1" s="47"/>
      <c r="AW1" s="22" t="s">
        <v>859</v>
      </c>
      <c r="AY1" s="48"/>
      <c r="AZ1" s="48"/>
      <c r="BA1" s="48"/>
      <c r="BB1" s="32"/>
    </row>
    <row r="2" spans="2:54" x14ac:dyDescent="0.25">
      <c r="B2" s="15"/>
      <c r="C2" s="15" t="s">
        <v>853</v>
      </c>
      <c r="D2" s="15" t="s">
        <v>854</v>
      </c>
      <c r="E2" s="16" t="s">
        <v>855</v>
      </c>
      <c r="F2" s="14" t="s">
        <v>853</v>
      </c>
      <c r="G2" s="14" t="s">
        <v>854</v>
      </c>
      <c r="H2" s="12" t="s">
        <v>855</v>
      </c>
      <c r="I2" s="12" t="s">
        <v>862</v>
      </c>
      <c r="K2" s="23" t="s">
        <v>860</v>
      </c>
      <c r="L2" s="23" t="s">
        <v>3</v>
      </c>
      <c r="M2" s="23" t="s">
        <v>2</v>
      </c>
      <c r="N2" s="23" t="s">
        <v>862</v>
      </c>
      <c r="P2" s="23" t="s">
        <v>860</v>
      </c>
      <c r="Q2" s="23" t="s">
        <v>3</v>
      </c>
      <c r="R2" s="23" t="s">
        <v>2</v>
      </c>
      <c r="S2" s="23" t="s">
        <v>862</v>
      </c>
      <c r="U2" s="23" t="s">
        <v>860</v>
      </c>
      <c r="V2" s="23" t="s">
        <v>3</v>
      </c>
      <c r="W2" s="23" t="s">
        <v>2</v>
      </c>
      <c r="X2" s="23" t="s">
        <v>862</v>
      </c>
      <c r="Z2" s="23" t="s">
        <v>860</v>
      </c>
      <c r="AA2" s="23" t="s">
        <v>3</v>
      </c>
      <c r="AB2" s="23" t="s">
        <v>2</v>
      </c>
      <c r="AC2" s="23" t="s">
        <v>862</v>
      </c>
      <c r="AE2" s="23" t="s">
        <v>860</v>
      </c>
      <c r="AF2" s="23" t="s">
        <v>3</v>
      </c>
      <c r="AG2" s="23" t="s">
        <v>2</v>
      </c>
      <c r="AH2" s="23" t="s">
        <v>862</v>
      </c>
      <c r="AJ2" s="23" t="s">
        <v>860</v>
      </c>
      <c r="AK2" s="23" t="s">
        <v>3</v>
      </c>
      <c r="AL2" s="23" t="s">
        <v>2</v>
      </c>
      <c r="AM2" s="23" t="s">
        <v>862</v>
      </c>
      <c r="AO2" s="23" t="s">
        <v>860</v>
      </c>
      <c r="AP2" s="23" t="s">
        <v>3</v>
      </c>
      <c r="AQ2" s="23" t="s">
        <v>2</v>
      </c>
      <c r="AR2" s="23" t="s">
        <v>862</v>
      </c>
      <c r="AT2" s="23" t="s">
        <v>860</v>
      </c>
      <c r="AU2" s="23" t="s">
        <v>3</v>
      </c>
      <c r="AV2" s="23" t="s">
        <v>2</v>
      </c>
      <c r="AW2" s="23" t="s">
        <v>862</v>
      </c>
      <c r="AY2" s="32"/>
      <c r="AZ2" s="32"/>
      <c r="BA2" s="32"/>
      <c r="BB2" s="32"/>
    </row>
    <row r="3" spans="2:54" x14ac:dyDescent="0.25">
      <c r="B3" s="1" t="s">
        <v>9</v>
      </c>
      <c r="C3" s="2">
        <v>3</v>
      </c>
      <c r="D3" s="2" t="s">
        <v>856</v>
      </c>
      <c r="E3" s="3">
        <v>2017</v>
      </c>
      <c r="F3" s="2">
        <v>25</v>
      </c>
      <c r="G3" s="2" t="s">
        <v>857</v>
      </c>
      <c r="H3" s="21">
        <v>2016</v>
      </c>
      <c r="I3" s="3" t="s">
        <v>3</v>
      </c>
      <c r="K3" s="18">
        <v>3</v>
      </c>
      <c r="L3" s="18">
        <f>COUNTIFS(C3:C846, "3",D3:D846,"ENERO", I3:I846, "HOMBRE")</f>
        <v>1</v>
      </c>
      <c r="M3" s="18">
        <f>COUNTIFS(C3:C846, "3",D3:D846,"ENERO", I3:I846, "MUJER")</f>
        <v>1</v>
      </c>
      <c r="N3" s="18">
        <f>SUM(L3:M3)</f>
        <v>2</v>
      </c>
      <c r="P3" s="18">
        <v>1</v>
      </c>
      <c r="Q3" s="18">
        <f>COUNTIFS(C3:C846, "1",D3:D846,"FEBRERO", I3:I846, "HOMBRE")</f>
        <v>0</v>
      </c>
      <c r="R3" s="18">
        <f>COUNTIFS(C3:C846, "1",D3:D846,"FEBRERO", I3:I846, "MUJER")</f>
        <v>1</v>
      </c>
      <c r="S3" s="18">
        <f>SUM(Q3:R3)</f>
        <v>1</v>
      </c>
      <c r="U3" s="18">
        <v>1</v>
      </c>
      <c r="V3" s="18">
        <f>COUNTIFS(C3:C846, "1",D3:D846,"MARZO", I3:I846, "HOMBRE")</f>
        <v>1</v>
      </c>
      <c r="W3" s="18">
        <f>COUNTIFS(C3:C846, "1",D3:D846,"FEBRERO", I3:I846, "MUJER")</f>
        <v>1</v>
      </c>
      <c r="X3" s="18">
        <f>SUM(V3:W3)</f>
        <v>2</v>
      </c>
      <c r="Z3" s="18">
        <v>3</v>
      </c>
      <c r="AA3" s="18">
        <f>COUNTIFS(C3:C846, "3",D3:D846,"ABRIL", I3:I846, "HOMBRE")</f>
        <v>0</v>
      </c>
      <c r="AB3" s="18">
        <f>COUNTIFS(C3:C846, "3",D3:D846,"ABRIL", I3:I846, "MUJER")</f>
        <v>3</v>
      </c>
      <c r="AC3" s="18">
        <f>SUM(AA3:AB3)</f>
        <v>3</v>
      </c>
      <c r="AE3" s="18">
        <v>2</v>
      </c>
      <c r="AF3" s="18">
        <f>COUNTIFS(C3:C846, "2",D3:D846,"MAYO", I3:I846, "HOMBRE")</f>
        <v>2</v>
      </c>
      <c r="AG3" s="18">
        <f>COUNTIFS(C3:C846, "2",D3:D846,"MAYO", I3:I846, "MUJER")</f>
        <v>3</v>
      </c>
      <c r="AH3" s="18">
        <f>SUM(AF3:AG3)</f>
        <v>5</v>
      </c>
      <c r="AJ3" s="18">
        <v>2</v>
      </c>
      <c r="AK3" s="18">
        <f>COUNTIFS(C3:C846, "2",D3:D846,"JUNIO", I3:I846, "HOMBRE")</f>
        <v>1</v>
      </c>
      <c r="AL3" s="18">
        <f>COUNTIFS(C3:C846, "2",D3:D846,"JUNIO", I3:I846, "MUJER")</f>
        <v>1</v>
      </c>
      <c r="AM3" s="18">
        <f>SUM(AK3:AL3)</f>
        <v>2</v>
      </c>
      <c r="AO3" s="18">
        <v>3</v>
      </c>
      <c r="AP3" s="18">
        <f>COUNTIFS(C3:C846, "3",D3:D846,"JULIO", I3:I846, "HOMBRE")</f>
        <v>3</v>
      </c>
      <c r="AQ3" s="18">
        <f>COUNTIFS(C3:C846, "3",D3:D846,"JULIO", I3:I846, "MUJER")</f>
        <v>1</v>
      </c>
      <c r="AR3" s="26">
        <f>SUM(AP3:AQ3)</f>
        <v>4</v>
      </c>
      <c r="AT3" s="18">
        <v>1</v>
      </c>
      <c r="AU3" s="18">
        <f>COUNTIFS(C3:C846, "1",D3:D846,"AGOSTO", I3:I846, "HOMBRE")</f>
        <v>1</v>
      </c>
      <c r="AV3" s="18">
        <f>COUNTIFS(C3:C846, "1",D3:D846,"AGOSTO", I3:I846, "MUJER")</f>
        <v>0</v>
      </c>
      <c r="AW3" s="26">
        <f>SUM(AU3:AV3)</f>
        <v>1</v>
      </c>
      <c r="AY3" s="31"/>
      <c r="AZ3" s="31"/>
      <c r="BA3" s="31"/>
      <c r="BB3" s="33"/>
    </row>
    <row r="4" spans="2:54" x14ac:dyDescent="0.25">
      <c r="B4" s="1" t="s">
        <v>10</v>
      </c>
      <c r="C4" s="2">
        <v>3</v>
      </c>
      <c r="D4" s="2" t="s">
        <v>856</v>
      </c>
      <c r="E4" s="3">
        <v>2017</v>
      </c>
      <c r="F4" s="2">
        <v>29</v>
      </c>
      <c r="G4" s="2" t="s">
        <v>858</v>
      </c>
      <c r="H4" s="21">
        <v>2016</v>
      </c>
      <c r="I4" s="2" t="s">
        <v>2</v>
      </c>
      <c r="K4" s="26">
        <v>4</v>
      </c>
      <c r="L4" s="18">
        <f>COUNTIFS(C3:C846, "4",D3:D846,"ENERO", I3:I846, "HOMBRE")</f>
        <v>1</v>
      </c>
      <c r="M4" s="18">
        <f>COUNTIFS(C3:C846, "4",D3:D846,"ENERO", I3:I846, "MUJER")</f>
        <v>0</v>
      </c>
      <c r="N4" s="18">
        <f t="shared" ref="N4:N18" si="0">SUM(L4:M4)</f>
        <v>1</v>
      </c>
      <c r="P4" s="26">
        <v>7</v>
      </c>
      <c r="Q4" s="18">
        <f>COUNTIFS(C3:C846, "7",D3:D846,"FEBRERO", I3:I846, "HOMBRE")</f>
        <v>3</v>
      </c>
      <c r="R4" s="18">
        <f>COUNTIFS(C3:C846, "7",D3:D846,"FEBRERO", I3:I846, "MUJER")</f>
        <v>4</v>
      </c>
      <c r="S4" s="18">
        <f t="shared" ref="S4:S14" si="1">SUM(Q4:R4)</f>
        <v>7</v>
      </c>
      <c r="U4" s="24">
        <v>2</v>
      </c>
      <c r="V4" s="18">
        <f>COUNTIFS(C3:C846, "2",D3:D846,"MARZO", I3:I846, "HOMBRE")</f>
        <v>0</v>
      </c>
      <c r="W4" s="18">
        <f>COUNTIFS(C3:C846, "2",D3:D846,"MARZO", I3:I846, "MUJER")</f>
        <v>1</v>
      </c>
      <c r="X4" s="18">
        <f t="shared" ref="X4:X22" si="2">SUM(V4:W4)</f>
        <v>1</v>
      </c>
      <c r="Z4" s="26">
        <v>4</v>
      </c>
      <c r="AA4" s="18">
        <f>COUNTIFS(C3:C846, "4",D3:D846,"ABRIL", I3:I846, "HOMBRE")</f>
        <v>3</v>
      </c>
      <c r="AB4" s="18">
        <f>COUNTIFS(C3:C846, "4",D3:D846,"ABRIL", I3:I846, "MUJER")</f>
        <v>0</v>
      </c>
      <c r="AC4" s="18">
        <f t="shared" ref="AC4:AC18" si="3">SUM(AA4:AB4)</f>
        <v>3</v>
      </c>
      <c r="AE4" s="26">
        <v>3</v>
      </c>
      <c r="AF4" s="18">
        <f>COUNTIFS(C3:C846, "3",D3:D846,"MAYO", I3:I846, "HOMBRE")</f>
        <v>2</v>
      </c>
      <c r="AG4" s="18">
        <f>COUNTIFS(C3:C846, "3",D3:D846,"MAYO", I3:I846, "MUJER")</f>
        <v>3</v>
      </c>
      <c r="AH4" s="18">
        <f t="shared" ref="AH4:AH18" si="4">SUM(AF4:AG4)</f>
        <v>5</v>
      </c>
      <c r="AJ4" s="26">
        <v>5</v>
      </c>
      <c r="AK4" s="18">
        <f>COUNTIFS(C3:C846, "5",D3:D846,"JUNIO", I3:I846, "HOMBRE")</f>
        <v>2</v>
      </c>
      <c r="AL4" s="18">
        <f>COUNTIFS(C3:C846, "5",D3:D846,"JUNIO", I3:I846, "MUJER")</f>
        <v>1</v>
      </c>
      <c r="AM4" s="18">
        <f t="shared" ref="AM4:AM21" si="5">SUM(AK4:AL4)</f>
        <v>3</v>
      </c>
      <c r="AO4" s="26">
        <v>4</v>
      </c>
      <c r="AP4" s="18">
        <f>COUNTIFS(C3:C846, "4",D3:D846,"JULIO", I3:I846, "HOMBRE")</f>
        <v>1</v>
      </c>
      <c r="AQ4" s="18">
        <f>COUNTIFS(C3:C846, "4",D3:D846,"JULIO", I3:I846, "MUJER")</f>
        <v>0</v>
      </c>
      <c r="AR4" s="26">
        <f t="shared" ref="AR4:AR20" si="6">SUM(AP4:AQ4)</f>
        <v>1</v>
      </c>
      <c r="AT4" s="24">
        <v>2</v>
      </c>
      <c r="AU4" s="18">
        <f>COUNTIFS(C3:C846, "2",D3:D846,"AGOSTO", I3:I846, "HOMBRE")</f>
        <v>1</v>
      </c>
      <c r="AV4" s="18">
        <f>COUNTIFS(C3:C846, "2",D3:D846,"AGOSTO", I3:I846, "MUJER")</f>
        <v>2</v>
      </c>
      <c r="AW4" s="26">
        <f t="shared" ref="AW4:AW23" si="7">SUM(AU4:AV4)</f>
        <v>3</v>
      </c>
      <c r="AY4" s="34"/>
      <c r="AZ4" s="31"/>
      <c r="BA4" s="31"/>
      <c r="BB4" s="33"/>
    </row>
    <row r="5" spans="2:54" x14ac:dyDescent="0.25">
      <c r="B5" s="1" t="s">
        <v>11</v>
      </c>
      <c r="C5" s="2">
        <v>4</v>
      </c>
      <c r="D5" s="2" t="s">
        <v>856</v>
      </c>
      <c r="E5" s="3">
        <v>2017</v>
      </c>
      <c r="F5" s="2">
        <v>15</v>
      </c>
      <c r="G5" s="2" t="s">
        <v>857</v>
      </c>
      <c r="H5" s="21">
        <v>2016</v>
      </c>
      <c r="I5" s="2" t="s">
        <v>3</v>
      </c>
      <c r="K5" s="26">
        <v>6</v>
      </c>
      <c r="L5" s="18">
        <f>COUNTIFS(C3:C846, "6",D3:D846,"ENERO", I3:I846, "HOMBRE")</f>
        <v>22</v>
      </c>
      <c r="M5" s="18">
        <f>COUNTIFS(C3:C846, "6",D3:D846,"ENERO", I3:I846, "MUJER")</f>
        <v>18</v>
      </c>
      <c r="N5" s="18">
        <f t="shared" si="0"/>
        <v>40</v>
      </c>
      <c r="P5" s="26">
        <v>8</v>
      </c>
      <c r="Q5" s="18">
        <f>COUNTIFS(C3:C846, "8",D3:D846,"FEBRERO", I3:I846, "HOMBRE")</f>
        <v>2</v>
      </c>
      <c r="R5" s="18">
        <f>COUNTIFS(C3:C846, "8",D3:D846,"FEBRERO", I3:I846, "MUJER")</f>
        <v>2</v>
      </c>
      <c r="S5" s="18">
        <f t="shared" si="1"/>
        <v>4</v>
      </c>
      <c r="U5" s="24">
        <v>3</v>
      </c>
      <c r="V5" s="18">
        <f>COUNTIFS(C3:C846, "3",D3:D846,"MARZO", I3:I846, "HOMBRE")</f>
        <v>0</v>
      </c>
      <c r="W5" s="18">
        <f>COUNTIFS(C3:C846, "3",D3:D846,"MARZO", I3:I846, "MUJER")</f>
        <v>2</v>
      </c>
      <c r="X5" s="18">
        <f t="shared" si="2"/>
        <v>2</v>
      </c>
      <c r="Z5" s="26">
        <v>5</v>
      </c>
      <c r="AA5" s="18">
        <f>COUNTIFS(C3:C846, "5",D3:D846,"ABRIL", I3:I846, "HOMBRE")</f>
        <v>1</v>
      </c>
      <c r="AB5" s="18">
        <f>COUNTIFS(C3:C846, "5",D3:D846,"ABRIL", I3:I846, "MUJER")</f>
        <v>0</v>
      </c>
      <c r="AC5" s="18">
        <f t="shared" si="3"/>
        <v>1</v>
      </c>
      <c r="AE5" s="26">
        <v>4</v>
      </c>
      <c r="AF5" s="18">
        <f>COUNTIFS(C3:C846, "4",D3:D846,"MAYO", I3:I846, "HOMBRE")</f>
        <v>0</v>
      </c>
      <c r="AG5" s="18">
        <f>COUNTIFS(C3:C846, "4",D3:D846,"MAYO", I3:I846, "MUJER")</f>
        <v>3</v>
      </c>
      <c r="AH5" s="18">
        <f t="shared" si="4"/>
        <v>3</v>
      </c>
      <c r="AJ5" s="26">
        <v>6</v>
      </c>
      <c r="AK5" s="18">
        <f>COUNTIFS(C3:C846, "6",D3:D846,"JUNIO", I3:I846, "HOMBRE")</f>
        <v>1</v>
      </c>
      <c r="AL5" s="18">
        <f>COUNTIFS(C3:C846, "6",D3:D846,"JUNIO", I3:I846, "MUJER")</f>
        <v>2</v>
      </c>
      <c r="AM5" s="18">
        <f t="shared" si="5"/>
        <v>3</v>
      </c>
      <c r="AO5" s="26">
        <v>5</v>
      </c>
      <c r="AP5" s="18">
        <f>COUNTIFS(C3:C846, "5",D3:D846,"JULIO", I3:I846, "HOMBRE")</f>
        <v>0</v>
      </c>
      <c r="AQ5" s="18">
        <f>COUNTIFS(C3:C846, "5",D3:D846,"JULIO", I3:I846, "MUJER")</f>
        <v>1</v>
      </c>
      <c r="AR5" s="26">
        <f t="shared" si="6"/>
        <v>1</v>
      </c>
      <c r="AT5" s="24">
        <v>3</v>
      </c>
      <c r="AU5" s="18">
        <f>COUNTIFS(C3:C846, "3",D3:D846,"AGOSTO", I3:I846, "HOMBRE")</f>
        <v>2</v>
      </c>
      <c r="AV5" s="18">
        <f>COUNTIFS(C3:C846, "2",D3:D846,"AGOSTO", I3:I846, "MUJER")</f>
        <v>2</v>
      </c>
      <c r="AW5" s="26">
        <f t="shared" si="7"/>
        <v>4</v>
      </c>
      <c r="AY5" s="34"/>
      <c r="AZ5" s="31"/>
      <c r="BA5" s="31"/>
      <c r="BB5" s="33"/>
    </row>
    <row r="6" spans="2:54" x14ac:dyDescent="0.25">
      <c r="B6" s="1" t="s">
        <v>12</v>
      </c>
      <c r="C6" s="2">
        <v>6</v>
      </c>
      <c r="D6" s="2" t="s">
        <v>856</v>
      </c>
      <c r="E6" s="3">
        <v>2017</v>
      </c>
      <c r="F6" s="2">
        <v>2</v>
      </c>
      <c r="G6" s="2" t="s">
        <v>866</v>
      </c>
      <c r="H6" s="21">
        <v>2016</v>
      </c>
      <c r="I6" s="2" t="s">
        <v>2</v>
      </c>
      <c r="K6" s="26">
        <v>10</v>
      </c>
      <c r="L6" s="18">
        <f>COUNTIFS(C3:C846, "10",D3:D846,"ENERO", I3:I846, "HOMBRE")</f>
        <v>1</v>
      </c>
      <c r="M6" s="18">
        <f>COUNTIFS(C3:C846, "10",D3:D846,"ENERO", I3:I846, "MUJER")</f>
        <v>0</v>
      </c>
      <c r="N6" s="18">
        <f t="shared" si="0"/>
        <v>1</v>
      </c>
      <c r="P6" s="26">
        <v>9</v>
      </c>
      <c r="Q6" s="18">
        <f>COUNTIFS(C3:C846, "9",D3:D846,"FEBRERO", I3:I846, "HOMBRE")</f>
        <v>1</v>
      </c>
      <c r="R6" s="18">
        <f>COUNTIFS(C3:C846, "9",D3:D846,"FEBRERO", I3:I846, "MUJER")</f>
        <v>2</v>
      </c>
      <c r="S6" s="18">
        <f t="shared" si="1"/>
        <v>3</v>
      </c>
      <c r="U6" s="24">
        <v>6</v>
      </c>
      <c r="V6" s="18">
        <f>COUNTIFS(C3:C846, "6",D3:D846,"MARZO", I3:I846, "HOMBRE")</f>
        <v>3</v>
      </c>
      <c r="W6" s="18">
        <f>COUNTIFS(C3:C846, "6",D3:D846,"MARZO", I3:I846, "MUJER")</f>
        <v>0</v>
      </c>
      <c r="X6" s="18">
        <f t="shared" si="2"/>
        <v>3</v>
      </c>
      <c r="Z6" s="26">
        <v>6</v>
      </c>
      <c r="AA6" s="18">
        <f>COUNTIFS(C3:C846, "6",D3:D846,"ABRIL", I3:I846, "HOMBRE")</f>
        <v>1</v>
      </c>
      <c r="AB6" s="18">
        <f>COUNTIFS(C3:C846, "6",D3:D846,"ABRIL", I3:I846, "MUJER")</f>
        <v>0</v>
      </c>
      <c r="AC6" s="18">
        <f t="shared" si="3"/>
        <v>1</v>
      </c>
      <c r="AE6" s="26">
        <v>8</v>
      </c>
      <c r="AF6" s="18">
        <f>COUNTIFS(C3:C846, "8",D3:D846,"MAYO", I3:I846, "HOMBRE")</f>
        <v>1</v>
      </c>
      <c r="AG6" s="18">
        <f>COUNTIFS(C3:C846, "8",D3:D846,"MAYO", I3:I846, "MUJER")</f>
        <v>1</v>
      </c>
      <c r="AH6" s="18">
        <f t="shared" si="4"/>
        <v>2</v>
      </c>
      <c r="AJ6" s="26">
        <v>7</v>
      </c>
      <c r="AK6" s="18">
        <f>COUNTIFS(C3:C846, "7",D3:D846,"JUNIO", I3:I846, "HOMBRE")</f>
        <v>0</v>
      </c>
      <c r="AL6" s="18">
        <f>COUNTIFS(C3:C846, "7",D3:D846,"JUNIO", I3:I846, "MUJER")</f>
        <v>2</v>
      </c>
      <c r="AM6" s="18">
        <f t="shared" si="5"/>
        <v>2</v>
      </c>
      <c r="AO6" s="26">
        <v>6</v>
      </c>
      <c r="AP6" s="18">
        <f>COUNTIFS(C3:C846, "6",D3:D846,"JULIO", I3:I846, "HOMBRE")</f>
        <v>3</v>
      </c>
      <c r="AQ6" s="18">
        <f>COUNTIFS(C3:C846, "6",D3:D846,"JULIO", I3:I846, "MUJER")</f>
        <v>1</v>
      </c>
      <c r="AR6" s="26">
        <f t="shared" si="6"/>
        <v>4</v>
      </c>
      <c r="AT6" s="24">
        <v>4</v>
      </c>
      <c r="AU6" s="18">
        <f>COUNTIFS(C3:C846, "4",D3:D846,"AGOSTO", I3:I846, "HOMBRE")</f>
        <v>3</v>
      </c>
      <c r="AV6" s="18">
        <f>COUNTIFS(C3:C846, "4",D3:D846,"AGOSTO", I3:I846, "MUJER")</f>
        <v>1</v>
      </c>
      <c r="AW6" s="26">
        <f t="shared" si="7"/>
        <v>4</v>
      </c>
      <c r="AY6" s="34"/>
      <c r="AZ6" s="31"/>
      <c r="BA6" s="31"/>
      <c r="BB6" s="33"/>
    </row>
    <row r="7" spans="2:54" x14ac:dyDescent="0.25">
      <c r="B7" s="1" t="s">
        <v>13</v>
      </c>
      <c r="C7" s="2">
        <v>6</v>
      </c>
      <c r="D7" s="2" t="s">
        <v>856</v>
      </c>
      <c r="E7" s="3">
        <v>2017</v>
      </c>
      <c r="F7" s="2">
        <v>29</v>
      </c>
      <c r="G7" s="2" t="s">
        <v>868</v>
      </c>
      <c r="H7" s="19">
        <v>2015</v>
      </c>
      <c r="I7" s="2" t="s">
        <v>2</v>
      </c>
      <c r="K7" s="26">
        <v>12</v>
      </c>
      <c r="L7" s="18">
        <f>COUNTIFS(C3:C846,"12",D3:D846,"ENERO",I3:I846,"HOMBRE")</f>
        <v>1</v>
      </c>
      <c r="M7" s="18">
        <f>COUNTIFS(C3:C846, "12",D3:D846,"ENERO", I3:I846, "MUJER")</f>
        <v>0</v>
      </c>
      <c r="N7" s="18">
        <f t="shared" si="0"/>
        <v>1</v>
      </c>
      <c r="P7" s="26">
        <v>13</v>
      </c>
      <c r="Q7" s="18">
        <f>COUNTIFS(C3:C846, "13",D3:D846,"FEBRERO", I3:I846, "HOMBRE")</f>
        <v>0</v>
      </c>
      <c r="R7" s="18">
        <f>COUNTIFS(C3:C846, "13",D3:D846,"FEBRERO", I3:I846, "MUJER")</f>
        <v>2</v>
      </c>
      <c r="S7" s="18">
        <f t="shared" si="1"/>
        <v>2</v>
      </c>
      <c r="U7" s="24">
        <v>7</v>
      </c>
      <c r="V7" s="18">
        <f>COUNTIFS(C3:C846, "7",D3:D846,"MARZO", I3:I846, "HOMBRE")</f>
        <v>2</v>
      </c>
      <c r="W7" s="18">
        <f>COUNTIFS(C3:C846, "7",D3:D846,"MARZO", I3:I846, "MUJER")</f>
        <v>2</v>
      </c>
      <c r="X7" s="18">
        <f t="shared" si="2"/>
        <v>4</v>
      </c>
      <c r="Z7" s="26">
        <v>10</v>
      </c>
      <c r="AA7" s="18">
        <f>COUNTIFS(C3:C846, "10",D3:D846,"ABRIL", I3:I846, "HOMBRE")</f>
        <v>5</v>
      </c>
      <c r="AB7" s="18">
        <f>COUNTIFS(C3:C846, "10",D3:D846,"ABRIL", I3:I846, "MUJER")</f>
        <v>0</v>
      </c>
      <c r="AC7" s="18">
        <f t="shared" si="3"/>
        <v>5</v>
      </c>
      <c r="AE7" s="26">
        <v>11</v>
      </c>
      <c r="AF7" s="18">
        <f>COUNTIFS(C3:C846, "11",D3:D846,"MAYO", I3:I846, "HOMBRE")</f>
        <v>1</v>
      </c>
      <c r="AG7" s="18">
        <f>COUNTIFS(C3:C846, "11",D3:D846,"MAYO", I3:I846, "MUJER")</f>
        <v>0</v>
      </c>
      <c r="AH7" s="18">
        <f t="shared" si="4"/>
        <v>1</v>
      </c>
      <c r="AJ7" s="26">
        <v>9</v>
      </c>
      <c r="AK7" s="18">
        <f>COUNTIFS(C3:C846, "9",D3:D846,"JUNIO", I3:I846, "HOMBRE")</f>
        <v>0</v>
      </c>
      <c r="AL7" s="18">
        <f>COUNTIFS(C3:C846, "9",D3:D846,"JUNIO", I3:I846, "MUJER")</f>
        <v>3</v>
      </c>
      <c r="AM7" s="18">
        <f t="shared" si="5"/>
        <v>3</v>
      </c>
      <c r="AO7" s="26">
        <v>7</v>
      </c>
      <c r="AP7" s="18">
        <f>COUNTIFS(C3:C846, "7",D3:D846,"JULIO", I3:I846, "HOMBRE")</f>
        <v>2</v>
      </c>
      <c r="AQ7" s="18">
        <f>COUNTIFS(C3:C846, "7",D3:D846,"JULIO", I3:I846, "MUJER")</f>
        <v>1</v>
      </c>
      <c r="AR7" s="26">
        <f t="shared" si="6"/>
        <v>3</v>
      </c>
      <c r="AT7" s="24">
        <v>7</v>
      </c>
      <c r="AU7" s="18">
        <f>COUNTIFS(C3:C846, "7",D3:D846,"AGOSTO", I3:I846, "HOMBRE")</f>
        <v>2</v>
      </c>
      <c r="AV7" s="18">
        <f>COUNTIFS(C3:C846, "7",D3:D846,"AGOSTO", I3:I846, "MUJER")</f>
        <v>1</v>
      </c>
      <c r="AW7" s="26">
        <f t="shared" si="7"/>
        <v>3</v>
      </c>
      <c r="AY7" s="34"/>
      <c r="AZ7" s="31"/>
      <c r="BA7" s="31"/>
      <c r="BB7" s="33"/>
    </row>
    <row r="8" spans="2:54" x14ac:dyDescent="0.25">
      <c r="B8" s="1" t="s">
        <v>14</v>
      </c>
      <c r="C8" s="2">
        <v>6</v>
      </c>
      <c r="D8" s="2" t="s">
        <v>856</v>
      </c>
      <c r="E8" s="3">
        <v>2017</v>
      </c>
      <c r="F8" s="2">
        <v>10</v>
      </c>
      <c r="G8" s="2" t="s">
        <v>863</v>
      </c>
      <c r="H8" s="19">
        <v>2016</v>
      </c>
      <c r="I8" s="2" t="s">
        <v>3</v>
      </c>
      <c r="K8" s="26">
        <v>13</v>
      </c>
      <c r="L8" s="18">
        <f>COUNTIFS(C3:C846, "13",D3:D846,"ENERO", I3:I846, "HOMBRE")</f>
        <v>1</v>
      </c>
      <c r="M8" s="18">
        <f>COUNTIFS(C3:C846,"13",D3:D846,"ENERO",I3:I846,"MUJER")</f>
        <v>2</v>
      </c>
      <c r="N8" s="18">
        <f t="shared" si="0"/>
        <v>3</v>
      </c>
      <c r="P8" s="26">
        <v>15</v>
      </c>
      <c r="Q8" s="18">
        <f>COUNTIFS(C3:C846, "15",D3:D846,"FEBRERO", I3:I846, "HOMBRE")</f>
        <v>9</v>
      </c>
      <c r="R8" s="18">
        <f>COUNTIFS(C3:C846, "15",D3:D846,"FEBRERO", I3:I846, "MUJER")</f>
        <v>13</v>
      </c>
      <c r="S8" s="18">
        <f t="shared" si="1"/>
        <v>22</v>
      </c>
      <c r="U8" s="24">
        <v>8</v>
      </c>
      <c r="V8" s="18">
        <f>COUNTIFS(C3:C846, "8",D3:D846,"MARZO", I3:I846, "HOMBRE")</f>
        <v>1</v>
      </c>
      <c r="W8" s="18">
        <f>COUNTIFS(C3:C846, "8",D3:D846,"MARZO", I3:I846, "MUJER")</f>
        <v>2</v>
      </c>
      <c r="X8" s="18">
        <f t="shared" si="2"/>
        <v>3</v>
      </c>
      <c r="Z8" s="26">
        <v>11</v>
      </c>
      <c r="AA8" s="18">
        <f>COUNTIFS(C3:C846, "11",D3:D846,"ABRIL", I3:I846, "HOMBRE")</f>
        <v>2</v>
      </c>
      <c r="AB8" s="18">
        <f>COUNTIFS(C3:C846, "11",D3:D846,"ABRIL", I3:I846, "MUJER")</f>
        <v>0</v>
      </c>
      <c r="AC8" s="18">
        <f t="shared" si="3"/>
        <v>2</v>
      </c>
      <c r="AE8" s="26">
        <v>12</v>
      </c>
      <c r="AF8" s="18">
        <f>COUNTIFS(C3:C846, "12",D3:D846,"MAYO", I3:I846, "HOMBRE")</f>
        <v>1</v>
      </c>
      <c r="AG8" s="18">
        <f>COUNTIFS(C3:C846, "12",D3:D846,"MAYO", I3:I846, "MUJER")</f>
        <v>1</v>
      </c>
      <c r="AH8" s="18">
        <f t="shared" si="4"/>
        <v>2</v>
      </c>
      <c r="AJ8" s="26">
        <v>12</v>
      </c>
      <c r="AK8" s="18">
        <f>COUNTIFS(C3:C846, "12",D3:D846,"JUNIO", I3:I846, "HOMBRE")</f>
        <v>2</v>
      </c>
      <c r="AL8" s="18">
        <f>COUNTIFS(C3:C846, "12",D3:D846,"JUNIO", I3:I846, "MUJER")</f>
        <v>0</v>
      </c>
      <c r="AM8" s="18">
        <f t="shared" si="5"/>
        <v>2</v>
      </c>
      <c r="AO8" s="26">
        <v>11</v>
      </c>
      <c r="AP8" s="18">
        <f>COUNTIFS(C3:C846, "11",D3:D846,"JULIO", I3:I846, "HOMBRE")</f>
        <v>0</v>
      </c>
      <c r="AQ8" s="18">
        <f>COUNTIFS(C3:C846, "11",D3:D846,"JULIO", I3:I846, "MUJER")</f>
        <v>1</v>
      </c>
      <c r="AR8" s="26">
        <f t="shared" si="6"/>
        <v>1</v>
      </c>
      <c r="AT8" s="24">
        <v>8</v>
      </c>
      <c r="AU8" s="18">
        <f>COUNTIFS(C3:C846, "8",D3:D846,"AGOSTO", I3:I846, "HOMBRE")</f>
        <v>4</v>
      </c>
      <c r="AV8" s="18">
        <f>COUNTIFS(C3:C846, "8",D3:D846,"AGOSTO", I3:I846, "MUJER")</f>
        <v>3</v>
      </c>
      <c r="AW8" s="26">
        <f t="shared" si="7"/>
        <v>7</v>
      </c>
      <c r="AY8" s="34"/>
      <c r="AZ8" s="31"/>
      <c r="BA8" s="31"/>
      <c r="BB8" s="33"/>
    </row>
    <row r="9" spans="2:54" x14ac:dyDescent="0.25">
      <c r="B9" s="1" t="s">
        <v>15</v>
      </c>
      <c r="C9" s="2">
        <v>6</v>
      </c>
      <c r="D9" s="2" t="s">
        <v>856</v>
      </c>
      <c r="E9" s="3">
        <v>2017</v>
      </c>
      <c r="F9" s="2">
        <v>5</v>
      </c>
      <c r="G9" s="2" t="s">
        <v>863</v>
      </c>
      <c r="H9" s="19">
        <v>2015</v>
      </c>
      <c r="I9" s="2" t="s">
        <v>3</v>
      </c>
      <c r="K9" s="26">
        <v>16</v>
      </c>
      <c r="L9" s="18">
        <f>COUNTIFS(C3:C846, "16",D3:D846,"ENERO", I3:I846, "HOMBRE")</f>
        <v>0</v>
      </c>
      <c r="M9" s="18">
        <f>COUNTIFS(C3:C846, "16",D3:D846,"ENERO", I3:I846, "MUJER")</f>
        <v>3</v>
      </c>
      <c r="N9" s="18">
        <f t="shared" si="0"/>
        <v>3</v>
      </c>
      <c r="P9" s="26">
        <v>16</v>
      </c>
      <c r="Q9" s="18">
        <f>COUNTIFS(C3:C846, "16",D3:D846,"FEBRERO", I3:I846, "HOMBRE")</f>
        <v>8</v>
      </c>
      <c r="R9" s="18">
        <f>COUNTIFS(C3:C846, "16",D3:D846,"FEBRERO", I3:I846, "MUJER")</f>
        <v>15</v>
      </c>
      <c r="S9" s="18">
        <f t="shared" si="1"/>
        <v>23</v>
      </c>
      <c r="U9" s="24">
        <v>10</v>
      </c>
      <c r="V9" s="18">
        <f>COUNTIFS(C3:C846, "10",D3:D846,"MARZO", I3:I846, "HOMBRE")</f>
        <v>0</v>
      </c>
      <c r="W9" s="18">
        <f>COUNTIFS(C3:C846, "10",D3:D846,"MARZO", I3:I846, "MUJER")</f>
        <v>2</v>
      </c>
      <c r="X9" s="18">
        <f t="shared" si="2"/>
        <v>2</v>
      </c>
      <c r="Z9" s="26">
        <v>17</v>
      </c>
      <c r="AA9" s="18">
        <f>COUNTIFS(C3:C846, "17",D3:D846,"ABRIL", I3:I846, "HOMBRE")</f>
        <v>1</v>
      </c>
      <c r="AB9" s="18">
        <f>COUNTIFS(C3:C846, "17",D3:D846,"ABRIL", I3:I846, "MUJER")</f>
        <v>1</v>
      </c>
      <c r="AC9" s="18">
        <f t="shared" si="3"/>
        <v>2</v>
      </c>
      <c r="AE9" s="26">
        <v>15</v>
      </c>
      <c r="AF9" s="18">
        <f>COUNTIFS(C3:C846, "15",D3:D846,"MAYO", I3:I846, "HOMBRE")</f>
        <v>0</v>
      </c>
      <c r="AG9" s="18">
        <f>COUNTIFS(C3:C846, "15",D3:D846,"MAYO", I3:I846, "MUJER")</f>
        <v>1</v>
      </c>
      <c r="AH9" s="18">
        <f t="shared" si="4"/>
        <v>1</v>
      </c>
      <c r="AJ9" s="26">
        <v>14</v>
      </c>
      <c r="AK9" s="18">
        <f>COUNTIFS(C3:C846, "14",D3:D846,"JUNIO", I3:I846, "HOMBRE")</f>
        <v>1</v>
      </c>
      <c r="AL9" s="18">
        <f>COUNTIFS(C3:C846, "14",D3:D846,"JUNIO", I3:I846, "MUJER")</f>
        <v>1</v>
      </c>
      <c r="AM9" s="18">
        <f t="shared" si="5"/>
        <v>2</v>
      </c>
      <c r="AO9" s="26">
        <v>12</v>
      </c>
      <c r="AP9" s="18">
        <f>COUNTIFS(C3:C846, "12",D3:D846,"JULIO", I3:I846, "HOMBRE")</f>
        <v>1</v>
      </c>
      <c r="AQ9" s="18">
        <f>COUNTIFS(C3:C846, "12",D3:D846,"JULIO", I3:I846, "MUJER")</f>
        <v>0</v>
      </c>
      <c r="AR9" s="26">
        <f t="shared" si="6"/>
        <v>1</v>
      </c>
      <c r="AT9" s="24">
        <v>9</v>
      </c>
      <c r="AU9" s="18">
        <f>COUNTIFS(C3:C846, "9",D3:D846,"AGOSTO", I3:I846, "HOMBRE")</f>
        <v>1</v>
      </c>
      <c r="AV9" s="18">
        <f>COUNTIFS(C3:C846, "9",D3:D846,"AGOSTO", I3:I846, "MUJER")</f>
        <v>0</v>
      </c>
      <c r="AW9" s="26">
        <f t="shared" si="7"/>
        <v>1</v>
      </c>
      <c r="AY9" s="34"/>
      <c r="AZ9" s="31"/>
      <c r="BA9" s="31"/>
      <c r="BB9" s="33"/>
    </row>
    <row r="10" spans="2:54" x14ac:dyDescent="0.25">
      <c r="B10" s="1" t="s">
        <v>16</v>
      </c>
      <c r="C10" s="2">
        <v>6</v>
      </c>
      <c r="D10" s="2" t="s">
        <v>856</v>
      </c>
      <c r="E10" s="3">
        <v>2017</v>
      </c>
      <c r="F10" s="2">
        <v>13</v>
      </c>
      <c r="G10" s="2" t="s">
        <v>858</v>
      </c>
      <c r="H10" s="19">
        <v>2016</v>
      </c>
      <c r="I10" s="2" t="s">
        <v>2</v>
      </c>
      <c r="K10" s="26">
        <v>17</v>
      </c>
      <c r="L10" s="18">
        <f>COUNTIFS(C3:C846, "17",D3:D846,"ENERO", I3:I846, "HOMBRE")</f>
        <v>2</v>
      </c>
      <c r="M10" s="18">
        <f>COUNTIFS(C3:C846, "17",D3:D846,"ENERO", I3:I846, "MUJER")</f>
        <v>0</v>
      </c>
      <c r="N10" s="18">
        <f t="shared" si="0"/>
        <v>2</v>
      </c>
      <c r="P10" s="26">
        <v>17</v>
      </c>
      <c r="Q10" s="18">
        <f>COUNTIFS(C3:C846, "17",D3:D846,"FEBRERO", I3:I846, "HOMBRE")</f>
        <v>1</v>
      </c>
      <c r="R10" s="18">
        <f>COUNTIFS(C3:C846, "17",D3:D846,"FEBRERO", I3:I846, "MUJER")</f>
        <v>1</v>
      </c>
      <c r="S10" s="18">
        <f t="shared" si="1"/>
        <v>2</v>
      </c>
      <c r="U10" s="24">
        <v>14</v>
      </c>
      <c r="V10" s="18">
        <f>COUNTIFS(C3:C846, "14",D3:D846,"MARZO", I3:I846, "HOMBRE")</f>
        <v>0</v>
      </c>
      <c r="W10" s="18">
        <f>COUNTIFS(C3:C846, "14",D3:D846,"MARZO", I3:I846, "MUJER")</f>
        <v>2</v>
      </c>
      <c r="X10" s="18">
        <f t="shared" si="2"/>
        <v>2</v>
      </c>
      <c r="Z10" s="26">
        <v>18</v>
      </c>
      <c r="AA10" s="18">
        <f>COUNTIFS(C3:C846, "18",D3:D846,"ABRIL", I3:I846, "HOMBRE")</f>
        <v>0</v>
      </c>
      <c r="AB10" s="18">
        <f>COUNTIFS(C3:C846, "18",D3:D846,"ABRIL", I3:I846, "MUJER")</f>
        <v>3</v>
      </c>
      <c r="AC10" s="18">
        <f t="shared" si="3"/>
        <v>3</v>
      </c>
      <c r="AE10" s="26">
        <v>16</v>
      </c>
      <c r="AF10" s="18">
        <f>COUNTIFS(C3:C846, "16",D3:D846,"MAYO", I3:I846, "HOMBRE")</f>
        <v>2</v>
      </c>
      <c r="AG10" s="18">
        <f>COUNTIFS(C3:C846, "16",D3:D846,"MAYO", I3:I846, "MUJER")</f>
        <v>0</v>
      </c>
      <c r="AH10" s="18">
        <f t="shared" si="4"/>
        <v>2</v>
      </c>
      <c r="AJ10" s="26">
        <v>15</v>
      </c>
      <c r="AK10" s="18">
        <f>COUNTIFS(C3:C846, "15",D3:D846,"JUNIO", I3:I846, "HOMBRE")</f>
        <v>1</v>
      </c>
      <c r="AL10" s="18">
        <f>COUNTIFS(C3:C846, "15",D3:D846,"JUNIO", I3:I846, "MUJER")</f>
        <v>0</v>
      </c>
      <c r="AM10" s="18">
        <f t="shared" si="5"/>
        <v>1</v>
      </c>
      <c r="AO10" s="26">
        <v>13</v>
      </c>
      <c r="AP10" s="18">
        <f>COUNTIFS(C3:C846, "13",D3:D846,"JULIO", I10:I853, "HOMBRE")</f>
        <v>2</v>
      </c>
      <c r="AQ10" s="18">
        <f>COUNTIFS(C3:C846, "13",D3:D846,"JULIO", I3:I846, "MUJER")</f>
        <v>1</v>
      </c>
      <c r="AR10" s="26">
        <f t="shared" si="6"/>
        <v>3</v>
      </c>
      <c r="AT10" s="24">
        <v>11</v>
      </c>
      <c r="AU10" s="18">
        <f>COUNTIFS(C3:C846, "11",D3:D846,"AGOSTO", I3:I846, "HOMBRE")</f>
        <v>1</v>
      </c>
      <c r="AV10" s="18">
        <f>COUNTIFS(C3:C846, "11",D3:D846,"AGOSTO", I3:I846, "MUJER")</f>
        <v>1</v>
      </c>
      <c r="AW10" s="26">
        <f t="shared" si="7"/>
        <v>2</v>
      </c>
      <c r="AY10" s="34"/>
      <c r="AZ10" s="31"/>
      <c r="BA10" s="31"/>
      <c r="BB10" s="33"/>
    </row>
    <row r="11" spans="2:54" x14ac:dyDescent="0.25">
      <c r="B11" s="1" t="s">
        <v>17</v>
      </c>
      <c r="C11" s="2">
        <v>6</v>
      </c>
      <c r="D11" s="2" t="s">
        <v>856</v>
      </c>
      <c r="E11" s="3">
        <v>2017</v>
      </c>
      <c r="F11" s="2">
        <v>28</v>
      </c>
      <c r="G11" s="2" t="s">
        <v>858</v>
      </c>
      <c r="H11" s="19">
        <v>2016</v>
      </c>
      <c r="I11" s="2" t="s">
        <v>2</v>
      </c>
      <c r="K11" s="26">
        <v>19</v>
      </c>
      <c r="L11" s="18">
        <f>COUNTIFS(C3:C846, "19",D3:D846,"ENERO", I3:I846, "HOMBRE")</f>
        <v>0</v>
      </c>
      <c r="M11" s="18">
        <f>COUNTIFS(C3:C846, "19",D3:D846,"ENERO", I3:I846, "MUJER")</f>
        <v>1</v>
      </c>
      <c r="N11" s="18">
        <f t="shared" si="0"/>
        <v>1</v>
      </c>
      <c r="P11" s="26">
        <v>20</v>
      </c>
      <c r="Q11" s="18">
        <f>COUNTIFS(C3:C846, "20",D3:D846,"FEBRERO", I3:I846, "HOMBRE")</f>
        <v>1</v>
      </c>
      <c r="R11" s="18">
        <f>COUNTIFS(C3:C846, "20",D3:D846,"FEBRERO", I3:I846, "MUJER")</f>
        <v>1</v>
      </c>
      <c r="S11" s="18">
        <f t="shared" si="1"/>
        <v>2</v>
      </c>
      <c r="U11" s="24">
        <v>15</v>
      </c>
      <c r="V11" s="18">
        <f>COUNTIFS(C3:C846, "15",D3:D846,"MARZO", I3:I846, "HOMBRE")</f>
        <v>4</v>
      </c>
      <c r="W11" s="18">
        <f>COUNTIFS(C3:C846, "15",D3:D846,"MARZO", I3:I846, "MUJER")</f>
        <v>3</v>
      </c>
      <c r="X11" s="18">
        <f t="shared" si="2"/>
        <v>7</v>
      </c>
      <c r="Z11" s="26">
        <v>19</v>
      </c>
      <c r="AA11" s="18">
        <f>COUNTIFS(C3:C846, "19",D3:D846,"ABRIL", I3:I846, "HOMBRE")</f>
        <v>3</v>
      </c>
      <c r="AB11" s="18">
        <f>COUNTIFS(C3:C846, "19",D3:D846,"ABRIL", I3:I846, "MUJER")</f>
        <v>1</v>
      </c>
      <c r="AC11" s="18">
        <f t="shared" si="3"/>
        <v>4</v>
      </c>
      <c r="AE11" s="26">
        <v>17</v>
      </c>
      <c r="AF11" s="18">
        <f>COUNTIFS(C3:C846, "17",D3:D846,"MAYO", I3:I846, "HOMBRE")</f>
        <v>1</v>
      </c>
      <c r="AG11" s="18">
        <f>COUNTIFS(C3:C846, "17",D3:D846,"MAYO", I3:I846, "MUJER")</f>
        <v>1</v>
      </c>
      <c r="AH11" s="18">
        <f t="shared" si="4"/>
        <v>2</v>
      </c>
      <c r="AJ11" s="26">
        <v>16</v>
      </c>
      <c r="AK11" s="18">
        <f>COUNTIFS(C3:C846,"16",D3:D846,"JUNIO",I3:I846,"HOMBRE")</f>
        <v>2</v>
      </c>
      <c r="AL11" s="18">
        <f>COUNTIFS(C3:C846, "16",D3:D846,"JUNIO", I3:I846, "MUJER")</f>
        <v>3</v>
      </c>
      <c r="AM11" s="18">
        <f t="shared" si="5"/>
        <v>5</v>
      </c>
      <c r="AO11" s="26">
        <v>14</v>
      </c>
      <c r="AP11" s="18">
        <f>COUNTIFS(C3:C846, "14",D3:D846,"JULIO", I3:I846, "HOMBRE")</f>
        <v>1</v>
      </c>
      <c r="AQ11" s="18">
        <f>COUNTIFS(C3:C846, "14",D3:D846,"JULIO", I3:I846, "MUJER")</f>
        <v>1</v>
      </c>
      <c r="AR11" s="26">
        <f t="shared" si="6"/>
        <v>2</v>
      </c>
      <c r="AT11" s="24">
        <v>14</v>
      </c>
      <c r="AU11" s="18">
        <f>COUNTIFS(C3:C846, "14",D3:D846,"AGOSTO", I3:I846, "HOMBRE")</f>
        <v>2</v>
      </c>
      <c r="AV11" s="18">
        <f>COUNTIFS(C3:C846, "14",D3:D846,"AGOSTO", I3:I846, "MUJER")</f>
        <v>1</v>
      </c>
      <c r="AW11" s="26">
        <f t="shared" si="7"/>
        <v>3</v>
      </c>
      <c r="AY11" s="34"/>
      <c r="AZ11" s="31"/>
      <c r="BA11" s="31"/>
      <c r="BB11" s="33"/>
    </row>
    <row r="12" spans="2:54" x14ac:dyDescent="0.25">
      <c r="B12" s="1" t="s">
        <v>18</v>
      </c>
      <c r="C12" s="2">
        <v>6</v>
      </c>
      <c r="D12" s="2" t="s">
        <v>856</v>
      </c>
      <c r="E12" s="3">
        <v>2017</v>
      </c>
      <c r="F12" s="2">
        <v>19</v>
      </c>
      <c r="G12" s="2" t="s">
        <v>861</v>
      </c>
      <c r="H12" s="19">
        <v>2016</v>
      </c>
      <c r="I12" s="2" t="s">
        <v>3</v>
      </c>
      <c r="K12" s="26">
        <v>20</v>
      </c>
      <c r="L12" s="18">
        <f>COUNTIFS(C3:C846, "20",D3:D846,"ENERO", I3:I846, "HOMBRE")</f>
        <v>2</v>
      </c>
      <c r="M12" s="18">
        <f>COUNTIFS(C3:C846, "20",D3:D846,"ENERO", I3:I846, "MUJER")</f>
        <v>1</v>
      </c>
      <c r="N12" s="18">
        <f t="shared" si="0"/>
        <v>3</v>
      </c>
      <c r="P12" s="26">
        <v>23</v>
      </c>
      <c r="Q12" s="18">
        <f>COUNTIFS(C3:C846, "23",D3:D846,"FEBRERO", I3:I846, "HOMBRE")</f>
        <v>2</v>
      </c>
      <c r="R12" s="18">
        <f>COUNTIFS(C3:C846, "23",D3:D846,"FEBRERO", I3:I846, "MUJER")</f>
        <v>0</v>
      </c>
      <c r="S12" s="18">
        <f t="shared" si="1"/>
        <v>2</v>
      </c>
      <c r="U12" s="24">
        <v>16</v>
      </c>
      <c r="V12" s="18">
        <f>COUNTIFS(C3:C846, "16",D3:D846,"MARZO", I3:I846, "HOMBRE")</f>
        <v>4</v>
      </c>
      <c r="W12" s="18">
        <f>COUNTIFS(C3:C846, "16",D3:D846,"MARZO", I3:I846, "MUJER")</f>
        <v>1</v>
      </c>
      <c r="X12" s="18">
        <f t="shared" si="2"/>
        <v>5</v>
      </c>
      <c r="Z12" s="26">
        <v>20</v>
      </c>
      <c r="AA12" s="18">
        <f>COUNTIFS(C3:C846, "20",D3:D846,"ABRIL", I3:I846, "HOMBRE")</f>
        <v>3</v>
      </c>
      <c r="AB12" s="18">
        <f>COUNTIFS(C3:C846, "20",D3:D846,"ABRIL", I3:I846, "MUJER")</f>
        <v>1</v>
      </c>
      <c r="AC12" s="18">
        <f t="shared" si="3"/>
        <v>4</v>
      </c>
      <c r="AE12" s="26">
        <v>18</v>
      </c>
      <c r="AF12" s="18">
        <f>COUNTIFS(C3:C846, "18",D3:D846,"MAYO", I3:I846, "HOMBRE")</f>
        <v>0</v>
      </c>
      <c r="AG12" s="18">
        <f>COUNTIFS(C3:C846, "18",D3:D846,"MAYO", I3:I846, "MUJER")</f>
        <v>1</v>
      </c>
      <c r="AH12" s="18">
        <f t="shared" si="4"/>
        <v>1</v>
      </c>
      <c r="AJ12" s="26">
        <v>19</v>
      </c>
      <c r="AK12" s="18">
        <f>COUNTIFS(C3:C846, "19",D3:D846,"JUNIO", I3:I846, "HOMBRE")</f>
        <v>3</v>
      </c>
      <c r="AL12" s="18">
        <f>COUNTIFS(C3:C846, "19",D3:D846,"JUNIO", I3:I846, "MUJER")</f>
        <v>0</v>
      </c>
      <c r="AM12" s="18">
        <f t="shared" si="5"/>
        <v>3</v>
      </c>
      <c r="AO12" s="26">
        <v>17</v>
      </c>
      <c r="AP12" s="18">
        <f>COUNTIFS(C3:C846, "17",D3:D846,"JULIO", I3:I846, "HOMBRE")</f>
        <v>2</v>
      </c>
      <c r="AQ12" s="18">
        <f>COUNTIFS(C3:C846, "17",D3:D846,"JULIO", I3:I846, "MUJER")</f>
        <v>1</v>
      </c>
      <c r="AR12" s="26">
        <f t="shared" si="6"/>
        <v>3</v>
      </c>
      <c r="AT12" s="24">
        <v>15</v>
      </c>
      <c r="AU12" s="18">
        <f>COUNTIFS(C3:C846, "15",D3:D846,"AGOSTO", I3:I846, "HOMBRE")</f>
        <v>1</v>
      </c>
      <c r="AV12" s="18">
        <f>COUNTIFS(C3:C846, "15",D3:D846,"AGOSTO", I3:I846, "MUJER")</f>
        <v>0</v>
      </c>
      <c r="AW12" s="26">
        <f t="shared" si="7"/>
        <v>1</v>
      </c>
      <c r="AY12" s="34"/>
      <c r="AZ12" s="31"/>
      <c r="BA12" s="31"/>
      <c r="BB12" s="33"/>
    </row>
    <row r="13" spans="2:54" x14ac:dyDescent="0.25">
      <c r="B13" s="1" t="s">
        <v>19</v>
      </c>
      <c r="C13" s="2">
        <v>6</v>
      </c>
      <c r="D13" s="2" t="s">
        <v>856</v>
      </c>
      <c r="E13" s="3">
        <v>2017</v>
      </c>
      <c r="F13" s="2">
        <v>10</v>
      </c>
      <c r="G13" s="2" t="s">
        <v>863</v>
      </c>
      <c r="H13" s="19">
        <v>2016</v>
      </c>
      <c r="I13" s="2" t="s">
        <v>3</v>
      </c>
      <c r="K13" s="26">
        <v>23</v>
      </c>
      <c r="L13" s="18">
        <f>COUNTIFS(C3:C846, "23",D3:D846,"ENERO", I3:I846, "HOMBRE")</f>
        <v>2</v>
      </c>
      <c r="M13" s="18">
        <f>COUNTIFS(C3:C846, "23",D3:D846,"ENERO", I3:I846, "MUJER")</f>
        <v>0</v>
      </c>
      <c r="N13" s="18">
        <f t="shared" si="0"/>
        <v>2</v>
      </c>
      <c r="P13" s="26">
        <v>24</v>
      </c>
      <c r="Q13" s="18">
        <f>COUNTIFS(C3:C846, "24",D3:D846,"FEBRERO", I3:I846, "HOMBRE")</f>
        <v>2</v>
      </c>
      <c r="R13" s="18">
        <f>COUNTIFS(C3:C846, "24",D3:D846,"FEBRERO", I3:I846, "MUJER")</f>
        <v>0</v>
      </c>
      <c r="S13" s="18">
        <f t="shared" si="1"/>
        <v>2</v>
      </c>
      <c r="U13" s="24">
        <v>17</v>
      </c>
      <c r="V13" s="18">
        <f>COUNTIFS(C3:C846, "17",D3:D846,"MARZO", I3:I846, "HOMBRE")</f>
        <v>1</v>
      </c>
      <c r="W13" s="18">
        <f>COUNTIFS(C3:C846, "17",D3:D846,"MARZO", I3:I846, "MUJER")</f>
        <v>2</v>
      </c>
      <c r="X13" s="18">
        <f t="shared" si="2"/>
        <v>3</v>
      </c>
      <c r="Z13" s="26">
        <v>21</v>
      </c>
      <c r="AA13" s="18">
        <f>COUNTIFS(C3:C846, "21",D3:D846,"ABRIL", I3:I846, "HOMBRE")</f>
        <v>0</v>
      </c>
      <c r="AB13" s="18">
        <f>COUNTIFS(C3:C846, "21",D3:D846,"ABRIL", I3:I846, "MUJER")</f>
        <v>1</v>
      </c>
      <c r="AC13" s="18">
        <f t="shared" si="3"/>
        <v>1</v>
      </c>
      <c r="AE13" s="26">
        <v>22</v>
      </c>
      <c r="AF13" s="18">
        <f>COUNTIFS(C3:C846, "22",D3:D846,"MAYO", I3:I846, "HOMBRE")</f>
        <v>0</v>
      </c>
      <c r="AG13" s="18">
        <f>COUNTIFS(C3:C846, "22",D3:D846,"MAYO", I3:I846, "MUJER")</f>
        <v>1</v>
      </c>
      <c r="AH13" s="18">
        <f t="shared" si="4"/>
        <v>1</v>
      </c>
      <c r="AJ13" s="26">
        <v>20</v>
      </c>
      <c r="AK13" s="18">
        <f>COUNTIFS(C3:C846, "20",D3:D846,"JUNIO", I3:I846, "HOMBRE")</f>
        <v>2</v>
      </c>
      <c r="AL13" s="18">
        <f>COUNTIFS(C3:C846, "20",D3:D846,"JUNIO", I13:I856, "MUJER")</f>
        <v>1</v>
      </c>
      <c r="AM13" s="18">
        <f t="shared" si="5"/>
        <v>3</v>
      </c>
      <c r="AO13" s="26">
        <v>18</v>
      </c>
      <c r="AP13" s="18">
        <f>COUNTIFS(C3:C846, "18",D3:D846,"JULIO", I3:I846, "HOMBRE")</f>
        <v>2</v>
      </c>
      <c r="AQ13" s="18">
        <f>COUNTIFS(C3:C846, "28",D3:D846,"JULIO", I3:I846, "MUJER")</f>
        <v>0</v>
      </c>
      <c r="AR13" s="26">
        <f t="shared" si="6"/>
        <v>2</v>
      </c>
      <c r="AT13" s="24">
        <v>16</v>
      </c>
      <c r="AU13" s="18">
        <f>COUNTIFS(C3:C846, "16",D3:D846,"AGOSTO", I3:I846, "HOMBRE")</f>
        <v>2</v>
      </c>
      <c r="AV13" s="18">
        <f>COUNTIFS(C3:C846, "16",D3:D846,"AGOSTO", I3:I846, "MUJER")</f>
        <v>1</v>
      </c>
      <c r="AW13" s="26">
        <f t="shared" si="7"/>
        <v>3</v>
      </c>
      <c r="AY13" s="34"/>
      <c r="AZ13" s="31"/>
      <c r="BA13" s="31"/>
      <c r="BB13" s="33"/>
    </row>
    <row r="14" spans="2:54" x14ac:dyDescent="0.25">
      <c r="B14" s="1" t="s">
        <v>20</v>
      </c>
      <c r="C14" s="2">
        <v>6</v>
      </c>
      <c r="D14" s="2" t="s">
        <v>856</v>
      </c>
      <c r="E14" s="3">
        <v>2017</v>
      </c>
      <c r="F14" s="2">
        <v>8</v>
      </c>
      <c r="G14" s="2" t="s">
        <v>865</v>
      </c>
      <c r="H14" s="19">
        <v>2013</v>
      </c>
      <c r="I14" s="2" t="s">
        <v>2</v>
      </c>
      <c r="K14" s="26">
        <v>24</v>
      </c>
      <c r="L14" s="18">
        <f>COUNTIFS(C3:C846, "24",D3:D846,"ENERO", I3:I846, "HOMBRE")</f>
        <v>3</v>
      </c>
      <c r="M14" s="18">
        <f>COUNTIFS(C3:C846, "24",D3:D846,"ENERO", I3:I846, "MUJER")</f>
        <v>1</v>
      </c>
      <c r="N14" s="18">
        <f t="shared" si="0"/>
        <v>4</v>
      </c>
      <c r="P14" s="26">
        <v>28</v>
      </c>
      <c r="Q14" s="18">
        <f>COUNTIFS(C3:C846, "28",D3:D846,"FEBRERO", I3:I846, "HOMBRE")</f>
        <v>0</v>
      </c>
      <c r="R14" s="18">
        <f>COUNTIFS(C3:C846, "28",D3:D846,"FEBRERO", I3:I846, "MUJER")</f>
        <v>3</v>
      </c>
      <c r="S14" s="18">
        <f t="shared" si="1"/>
        <v>3</v>
      </c>
      <c r="U14" s="24">
        <v>21</v>
      </c>
      <c r="V14" s="18">
        <f>COUNTIFS(C3:C846, "21",D3:D846,"MARZO", I3:I846, "HOMBRE")</f>
        <v>3</v>
      </c>
      <c r="W14" s="18">
        <f>COUNTIFS(C3:C846, "21",D3:D846,"MARZO", I3:I846, "MUJER")</f>
        <v>2</v>
      </c>
      <c r="X14" s="18">
        <f t="shared" si="2"/>
        <v>5</v>
      </c>
      <c r="Z14" s="26">
        <v>24</v>
      </c>
      <c r="AA14" s="18">
        <f>COUNTIFS(C3:C846, "24",D3:D846,"ABRIL", I3:I846, "HOMBRE")</f>
        <v>1</v>
      </c>
      <c r="AB14" s="18">
        <f>COUNTIFS(C3:C846, "24",D3:D846,"ABRIL", I3:I846, "MUJER")</f>
        <v>0</v>
      </c>
      <c r="AC14" s="18">
        <f t="shared" si="3"/>
        <v>1</v>
      </c>
      <c r="AE14" s="26">
        <v>24</v>
      </c>
      <c r="AF14" s="18">
        <f>COUNTIFS(C3:C846, "24",D3:D846,"MAYO", I3:I846, "HOMBRE")</f>
        <v>1</v>
      </c>
      <c r="AG14" s="18">
        <f>COUNTIFS(C3:C846, "24",D3:D846,"MAYO", I3:I846, "MUJER")</f>
        <v>0</v>
      </c>
      <c r="AH14" s="18">
        <f t="shared" si="4"/>
        <v>1</v>
      </c>
      <c r="AJ14" s="26">
        <v>21</v>
      </c>
      <c r="AK14" s="18">
        <f>COUNTIFS(C3:C846, "21",D3:D846,"JUNIO", I3:I846, "HOMBRE")</f>
        <v>1</v>
      </c>
      <c r="AL14" s="18">
        <f>COUNTIFS(C3:C846, "21",D3:D846,"JUNIO", I3:I846, "MUJER")</f>
        <v>1</v>
      </c>
      <c r="AM14" s="18">
        <f t="shared" si="5"/>
        <v>2</v>
      </c>
      <c r="AO14" s="26">
        <v>19</v>
      </c>
      <c r="AP14" s="18">
        <f>COUNTIFS(C3:C846, "19",D3:D846,"JULIO", I3:I846, "HOMBRE")</f>
        <v>2</v>
      </c>
      <c r="AQ14" s="18">
        <f>COUNTIFS(C3:C846, "19",D3:D846,"JULIO", I3:I846, "MUJER")</f>
        <v>1</v>
      </c>
      <c r="AR14" s="26">
        <f t="shared" si="6"/>
        <v>3</v>
      </c>
      <c r="AT14" s="24">
        <v>17</v>
      </c>
      <c r="AU14" s="18">
        <f>COUNTIFS(C3:C846, "17",D3:D846,"AGOSTO", I3:I846, "HOMBRE")</f>
        <v>2</v>
      </c>
      <c r="AV14" s="18">
        <f>COUNTIFS(C3:C846, "17",D3:D846,"AGOSTO", I3:I846, "MUJER")</f>
        <v>1</v>
      </c>
      <c r="AW14" s="26">
        <f t="shared" si="7"/>
        <v>3</v>
      </c>
      <c r="AY14" s="34"/>
      <c r="AZ14" s="31"/>
      <c r="BA14" s="31"/>
      <c r="BB14" s="33"/>
    </row>
    <row r="15" spans="2:54" ht="15" customHeight="1" x14ac:dyDescent="0.25">
      <c r="B15" s="1" t="s">
        <v>21</v>
      </c>
      <c r="C15" s="2">
        <v>6</v>
      </c>
      <c r="D15" s="2" t="s">
        <v>856</v>
      </c>
      <c r="E15" s="3">
        <v>2017</v>
      </c>
      <c r="F15" s="2">
        <v>18</v>
      </c>
      <c r="G15" s="2" t="s">
        <v>866</v>
      </c>
      <c r="H15" s="19">
        <v>2014</v>
      </c>
      <c r="I15" s="2" t="s">
        <v>2</v>
      </c>
      <c r="K15" s="26">
        <v>25</v>
      </c>
      <c r="L15" s="18">
        <f>COUNTIFS(C3:C846, "25",D3:D846,"ENERO", I3:I846, "HOMBRE")</f>
        <v>1</v>
      </c>
      <c r="M15" s="18">
        <f>COUNTIFS(C3:C846, "25",D3:D846,"ENERO", I3:I846, "MUJER")</f>
        <v>2</v>
      </c>
      <c r="N15" s="18">
        <f t="shared" si="0"/>
        <v>3</v>
      </c>
      <c r="P15" s="46" t="s">
        <v>871</v>
      </c>
      <c r="Q15" s="46"/>
      <c r="R15" s="46"/>
      <c r="S15" s="25">
        <f>SUM(S3:S14)</f>
        <v>73</v>
      </c>
      <c r="U15" s="24">
        <v>22</v>
      </c>
      <c r="V15" s="18">
        <f>COUNTIFS(C3:C846, "22",D3:D846,"MARZO", I3:I846, "HOMBRE")</f>
        <v>5</v>
      </c>
      <c r="W15" s="18">
        <f>COUNTIFS(C3:C846, "22",D3:D846,"MARZO", I3:I846, "MUJER")</f>
        <v>0</v>
      </c>
      <c r="X15" s="18">
        <f t="shared" si="2"/>
        <v>5</v>
      </c>
      <c r="Z15" s="26">
        <v>25</v>
      </c>
      <c r="AA15" s="18">
        <f>COUNTIFS(C3:C846, "3",D15:D858,"ABRIL", I15:I858, "HOMBRE")</f>
        <v>3</v>
      </c>
      <c r="AB15" s="18">
        <f>COUNTIFS(C3:C846, "25",D3:D846,"ABRIL", I3:I846, "MUJER")</f>
        <v>1</v>
      </c>
      <c r="AC15" s="18">
        <f t="shared" si="3"/>
        <v>4</v>
      </c>
      <c r="AE15" s="26">
        <v>26</v>
      </c>
      <c r="AF15" s="18">
        <f>COUNTIFS(C3:C846, "26",D3:D846,"MAYO", I3:I846, "HOMBRE")</f>
        <v>2</v>
      </c>
      <c r="AG15" s="18">
        <f>COUNTIFS(C3:C846, "26",D3:D846,"MAYO", I3:I846, "MUJER")</f>
        <v>0</v>
      </c>
      <c r="AH15" s="18">
        <f t="shared" si="4"/>
        <v>2</v>
      </c>
      <c r="AJ15" s="26">
        <v>22</v>
      </c>
      <c r="AK15" s="18">
        <f>COUNTIFS(C3:C846, "22",D3:D846,"JUNIO", I3:I846, "HOMBRE")</f>
        <v>1</v>
      </c>
      <c r="AL15" s="18">
        <f>COUNTIFS(C3:C846, "22",D3:D846,"JUNIO", I3:I846, "MUJER")</f>
        <v>0</v>
      </c>
      <c r="AM15" s="18">
        <f t="shared" si="5"/>
        <v>1</v>
      </c>
      <c r="AO15" s="26">
        <v>20</v>
      </c>
      <c r="AP15" s="18">
        <f>COUNTIFS(C3:C846, "20",D3:D846,"JULIO", I3:I846, "HOMBRE")</f>
        <v>2</v>
      </c>
      <c r="AQ15" s="18">
        <f>COUNTIFS(C3:C846, "20",D3:D846,"JULIO", I3:I846, "MUJER")</f>
        <v>6</v>
      </c>
      <c r="AR15" s="26">
        <f t="shared" si="6"/>
        <v>8</v>
      </c>
      <c r="AT15" s="24">
        <v>18</v>
      </c>
      <c r="AU15" s="18">
        <f>COUNTIFS(C3:C846, "18",D3:D846,"AGOSTO", I3:I846, "HOMBRE")</f>
        <v>2</v>
      </c>
      <c r="AV15" s="18">
        <f>COUNTIFS(C3:C846, "18",D3:D846,"AGOSTO", I3:I846, "MUJER")</f>
        <v>2</v>
      </c>
      <c r="AW15" s="26">
        <f t="shared" si="7"/>
        <v>4</v>
      </c>
      <c r="AY15" s="34"/>
      <c r="AZ15" s="31"/>
      <c r="BA15" s="31"/>
      <c r="BB15" s="33"/>
    </row>
    <row r="16" spans="2:54" x14ac:dyDescent="0.25">
      <c r="B16" s="1" t="s">
        <v>22</v>
      </c>
      <c r="C16" s="2">
        <v>6</v>
      </c>
      <c r="D16" s="2" t="s">
        <v>856</v>
      </c>
      <c r="E16" s="3">
        <v>2017</v>
      </c>
      <c r="F16" s="2">
        <v>4</v>
      </c>
      <c r="G16" s="2" t="s">
        <v>857</v>
      </c>
      <c r="H16" s="19">
        <v>2015</v>
      </c>
      <c r="I16" s="2" t="s">
        <v>3</v>
      </c>
      <c r="K16" s="26">
        <v>26</v>
      </c>
      <c r="L16" s="18">
        <f>COUNTIFS(C3:C846, "26",D3:D846,"ENERO", I3:I846, "HOMBRE")</f>
        <v>3</v>
      </c>
      <c r="M16" s="18">
        <f>COUNTIFS(C3:C846, "26",D3:D846,"ENERO", I3:I846, "MUJER")</f>
        <v>1</v>
      </c>
      <c r="N16" s="18">
        <f t="shared" si="0"/>
        <v>4</v>
      </c>
      <c r="U16" s="24">
        <v>23</v>
      </c>
      <c r="V16" s="18">
        <f>COUNTIFS(C3:C846, "23",D3:D846,"MARZO", I3:I846, "HOMBRE")</f>
        <v>2</v>
      </c>
      <c r="W16" s="18">
        <f>COUNTIFS(C3:C846, "23",D3:D846,"MARZO", I3:I846, "MUJER")</f>
        <v>0</v>
      </c>
      <c r="X16" s="18">
        <f t="shared" si="2"/>
        <v>2</v>
      </c>
      <c r="Z16" s="26">
        <v>26</v>
      </c>
      <c r="AA16" s="18">
        <f>COUNTIFS(C3:C846, "26",D3:D846,"ABRIL", I3:I846, "HOMBRE")</f>
        <v>1</v>
      </c>
      <c r="AB16" s="18">
        <f>COUNTIFS(C3:C846, "26",D3:D846,"ABRIL", I3:I846, "MUJER")</f>
        <v>0</v>
      </c>
      <c r="AC16" s="18">
        <f t="shared" si="3"/>
        <v>1</v>
      </c>
      <c r="AE16" s="26">
        <v>29</v>
      </c>
      <c r="AF16" s="18">
        <f>COUNTIFS(C3:C846, "29",D3:D846,"MAYO", I3:I846, "HOMBRE")</f>
        <v>3</v>
      </c>
      <c r="AG16" s="18">
        <f>COUNTIFS(C3:C846, "29",D3:D846,"MAYO", I3:I846, "MUJER")</f>
        <v>3</v>
      </c>
      <c r="AH16" s="18">
        <f t="shared" si="4"/>
        <v>6</v>
      </c>
      <c r="AJ16" s="26">
        <v>23</v>
      </c>
      <c r="AK16" s="18">
        <f>COUNTIFS(C3:C846, "23",D3:D846,"JUNIO", I3:I846, "HOMBRE")</f>
        <v>0</v>
      </c>
      <c r="AL16" s="18">
        <f>COUNTIFS(C3:C846, "23",D3:D846,"JUNIO", I3:I846, "MUJER")</f>
        <v>2</v>
      </c>
      <c r="AM16" s="18">
        <f t="shared" si="5"/>
        <v>2</v>
      </c>
      <c r="AO16" s="26">
        <v>21</v>
      </c>
      <c r="AP16" s="18">
        <f>COUNTIFS(C3:C846, "21",D3:D846,"JULIO", I3:I846, "HOMBRE")</f>
        <v>1</v>
      </c>
      <c r="AQ16" s="18">
        <f>COUNTIFS(C3:C846, "21",D3:D846,"JULIO", I3:I846, "MUJER")</f>
        <v>6</v>
      </c>
      <c r="AR16" s="26">
        <f t="shared" si="6"/>
        <v>7</v>
      </c>
      <c r="AT16" s="24">
        <v>21</v>
      </c>
      <c r="AU16" s="18">
        <f>COUNTIFS(C3:C846, "21",D3:D846,"AGOSTO", I3:I846, "HOMBRE")</f>
        <v>2</v>
      </c>
      <c r="AV16" s="18">
        <f>COUNTIFS(C3:C846, "21",D3:D846,"AGOSTO", I3:I846, "MUJER")</f>
        <v>1</v>
      </c>
      <c r="AW16" s="26">
        <f t="shared" si="7"/>
        <v>3</v>
      </c>
      <c r="AY16" s="34"/>
      <c r="AZ16" s="31"/>
      <c r="BA16" s="31"/>
      <c r="BB16" s="33"/>
    </row>
    <row r="17" spans="2:54" x14ac:dyDescent="0.25">
      <c r="B17" s="1" t="s">
        <v>23</v>
      </c>
      <c r="C17" s="2">
        <v>6</v>
      </c>
      <c r="D17" s="2" t="s">
        <v>856</v>
      </c>
      <c r="E17" s="3">
        <v>2017</v>
      </c>
      <c r="F17" s="2">
        <v>7</v>
      </c>
      <c r="G17" s="2" t="s">
        <v>858</v>
      </c>
      <c r="H17" s="19">
        <v>2016</v>
      </c>
      <c r="I17" s="2" t="s">
        <v>3</v>
      </c>
      <c r="K17" s="26">
        <v>27</v>
      </c>
      <c r="L17" s="18">
        <f>COUNTIFS(C3:C846, "27",D3:D846,"ENERO", I3:I846, "HOMBRE")</f>
        <v>1</v>
      </c>
      <c r="M17" s="18">
        <f>COUNTIFS(C3:C846, "27",D3:D846,"ENERO", I3:I846, "MUJER")</f>
        <v>4</v>
      </c>
      <c r="N17" s="18">
        <f t="shared" si="0"/>
        <v>5</v>
      </c>
      <c r="U17" s="24">
        <v>24</v>
      </c>
      <c r="V17" s="18">
        <f>COUNTIFS(C3:C846, "24",D3:D846,"MARZO", I3:I846, "HOMBRE")</f>
        <v>25</v>
      </c>
      <c r="W17" s="18">
        <f>COUNTIFS(C3:C846, "24",D3:D846,"MARZO", I3:I846, "MUJER")</f>
        <v>25</v>
      </c>
      <c r="X17" s="18">
        <f t="shared" si="2"/>
        <v>50</v>
      </c>
      <c r="Z17" s="26">
        <v>27</v>
      </c>
      <c r="AA17" s="18">
        <f>COUNTIFS(C3:C846, "27",D3:D846,"ABRIL", I3:I846, "HOMBRE")</f>
        <v>1</v>
      </c>
      <c r="AB17" s="18">
        <f>COUNTIFS(C3:C846, "27",D3:D846,"ABRIL", I3:I846, "MUJER")</f>
        <v>1</v>
      </c>
      <c r="AC17" s="18">
        <f t="shared" si="3"/>
        <v>2</v>
      </c>
      <c r="AE17" s="26">
        <v>30</v>
      </c>
      <c r="AF17" s="18">
        <f>COUNTIFS(C3:C846, "30",D3:D846,"MAYO", I3:I846, "HOMBRE")</f>
        <v>1</v>
      </c>
      <c r="AG17" s="18">
        <f>COUNTIFS(C3:C846, "3O",D3:D846,"MAYO", I3:I846, "MUJER")</f>
        <v>0</v>
      </c>
      <c r="AH17" s="18">
        <f t="shared" si="4"/>
        <v>1</v>
      </c>
      <c r="AJ17" s="26">
        <v>26</v>
      </c>
      <c r="AK17" s="18">
        <f>COUNTIFS(C3:C846, "26",D3:D846,"JUNIO", I3:I846, "HOMBRE")</f>
        <v>3</v>
      </c>
      <c r="AL17" s="18">
        <f>COUNTIFS(C3:C846, "26",D3:D846,"JUNIO", I3:I846, "MUJER")</f>
        <v>1</v>
      </c>
      <c r="AM17" s="18">
        <f t="shared" si="5"/>
        <v>4</v>
      </c>
      <c r="AO17" s="26">
        <v>24</v>
      </c>
      <c r="AP17" s="18">
        <f>COUNTIFS(C3:C846, "24",D3:D846,"JULIO", I3:I846, "HOMBRE")</f>
        <v>4</v>
      </c>
      <c r="AQ17" s="18">
        <f>COUNTIFS(C3:C846, "24",D3:D846,"JULIO", I3:I846, "MUJER")</f>
        <v>7</v>
      </c>
      <c r="AR17" s="26">
        <f t="shared" si="6"/>
        <v>11</v>
      </c>
      <c r="AT17" s="24">
        <v>23</v>
      </c>
      <c r="AU17" s="18">
        <f>COUNTIFS(C3:C846, "23",D3:D846,"AGOSTO", I3:I846, "HOMBRE")</f>
        <v>4</v>
      </c>
      <c r="AV17" s="18">
        <f>COUNTIFS(C3:C846, "23",D3:D846,"AGOSTO", I3:I846, "MUJER")</f>
        <v>3</v>
      </c>
      <c r="AW17" s="26">
        <f t="shared" si="7"/>
        <v>7</v>
      </c>
      <c r="AY17" s="34"/>
      <c r="AZ17" s="31"/>
      <c r="BA17" s="31"/>
      <c r="BB17" s="33"/>
    </row>
    <row r="18" spans="2:54" x14ac:dyDescent="0.25">
      <c r="B18" s="1" t="s">
        <v>24</v>
      </c>
      <c r="C18" s="2">
        <v>6</v>
      </c>
      <c r="D18" s="2" t="s">
        <v>856</v>
      </c>
      <c r="E18" s="3">
        <v>2017</v>
      </c>
      <c r="F18" s="2">
        <v>12</v>
      </c>
      <c r="G18" s="2" t="s">
        <v>858</v>
      </c>
      <c r="H18" s="19">
        <v>2014</v>
      </c>
      <c r="I18" s="2" t="s">
        <v>2</v>
      </c>
      <c r="K18" s="26">
        <v>30</v>
      </c>
      <c r="L18" s="18">
        <f>COUNTIFS(C3:C846, "30",D3:D846,"ENERO", I3:I846, "HOMBRE")</f>
        <v>1</v>
      </c>
      <c r="M18" s="18">
        <f>COUNTIFS(C3:C846, "30",D3:D846,"ENERO", I3:I846, "MUJER")</f>
        <v>1</v>
      </c>
      <c r="N18" s="18">
        <f t="shared" si="0"/>
        <v>2</v>
      </c>
      <c r="U18" s="24">
        <v>27</v>
      </c>
      <c r="V18" s="18">
        <f>COUNTIFS(C3:C846, "27",D3:D846,"MARZO", I3:I846, "HOMBRE")</f>
        <v>0</v>
      </c>
      <c r="W18" s="18">
        <f>COUNTIFS(C3:C846, "27",D3:D846,"MARZO", I3:I846, "MUJER")</f>
        <v>3</v>
      </c>
      <c r="X18" s="18">
        <f t="shared" si="2"/>
        <v>3</v>
      </c>
      <c r="Z18" s="26">
        <v>28</v>
      </c>
      <c r="AA18" s="18">
        <f>COUNTIFS(C3:C846, "28",D3:D846,"ABRIL", I3:I846, "HOMBRE")</f>
        <v>19</v>
      </c>
      <c r="AB18" s="18">
        <f>COUNTIFS(C3:C846, "28",D3:D846,"ABRIL", I3:I846, "MUJER")</f>
        <v>30</v>
      </c>
      <c r="AC18" s="18">
        <f t="shared" si="3"/>
        <v>49</v>
      </c>
      <c r="AE18" s="26">
        <v>31</v>
      </c>
      <c r="AF18" s="18">
        <f>COUNTIFS(C3:C846, "31",D3:D846,"MAYO", I3:I846, "HOMBRE")</f>
        <v>1</v>
      </c>
      <c r="AG18" s="18">
        <f>COUNTIFS(C3:C846, "31",D3:D846,"MAYO", I3:I846, "MUJER")</f>
        <v>1</v>
      </c>
      <c r="AH18" s="18">
        <f t="shared" si="4"/>
        <v>2</v>
      </c>
      <c r="AJ18" s="26">
        <v>27</v>
      </c>
      <c r="AK18" s="18">
        <f>COUNTIFS(C3:C846, "27",D3:D846,"JUNIO", I3:I846, "HOMBRE")</f>
        <v>0</v>
      </c>
      <c r="AL18" s="18">
        <f>COUNTIFS(C3:C846, "27",D3:D846,"JUNIO", I3:I846, "MUJER")</f>
        <v>2</v>
      </c>
      <c r="AM18" s="18">
        <f t="shared" si="5"/>
        <v>2</v>
      </c>
      <c r="AO18" s="26">
        <v>25</v>
      </c>
      <c r="AP18" s="18">
        <f>COUNTIFS(C3:C846, "25",D3:D846,"JULIO", I3:I846, "HOMBRE")</f>
        <v>2</v>
      </c>
      <c r="AQ18" s="18">
        <f>COUNTIFS(C3:C846, "25",D3:D846,"JULIO", I3:I846, "MUJER")</f>
        <v>2</v>
      </c>
      <c r="AR18" s="26">
        <f t="shared" si="6"/>
        <v>4</v>
      </c>
      <c r="AT18" s="24">
        <v>24</v>
      </c>
      <c r="AU18" s="18">
        <f>COUNTIFS(C3:C846, "24",D3:D846,"AGOSTO", I3:I846, "HOMBRE")</f>
        <v>1</v>
      </c>
      <c r="AV18" s="18">
        <f>COUNTIFS(C3:C846, "24",D3:D846,"AGOSTO", I3:I846, "MUJER")</f>
        <v>1</v>
      </c>
      <c r="AW18" s="26">
        <f t="shared" si="7"/>
        <v>2</v>
      </c>
      <c r="AY18" s="34"/>
      <c r="AZ18" s="31"/>
      <c r="BA18" s="31"/>
      <c r="BB18" s="33"/>
    </row>
    <row r="19" spans="2:54" x14ac:dyDescent="0.25">
      <c r="B19" s="1" t="s">
        <v>25</v>
      </c>
      <c r="C19" s="2">
        <v>6</v>
      </c>
      <c r="D19" s="2" t="s">
        <v>856</v>
      </c>
      <c r="E19" s="3">
        <v>2017</v>
      </c>
      <c r="F19" s="2">
        <v>28</v>
      </c>
      <c r="G19" s="2" t="s">
        <v>870</v>
      </c>
      <c r="H19" s="19">
        <v>2011</v>
      </c>
      <c r="I19" s="2" t="s">
        <v>3</v>
      </c>
      <c r="K19" s="26">
        <v>31</v>
      </c>
      <c r="L19" s="18">
        <f>COUNTIFS(C3:C846, "31",D3:D846,"ENERO", I3:I846, "HOMBRE")</f>
        <v>0</v>
      </c>
      <c r="M19" s="18">
        <f>COUNTIFS(C3:C846, "31",D3:D846,"ENERO", I3:I846, "MUJER")</f>
        <v>1</v>
      </c>
      <c r="N19" s="18">
        <f>SUM(L19:M19)</f>
        <v>1</v>
      </c>
      <c r="U19" s="24">
        <v>28</v>
      </c>
      <c r="V19" s="18">
        <f>COUNTIFS(C3:C846, "28",D3:D846,"MARZO", I3:I846, "HOMBRE")</f>
        <v>6</v>
      </c>
      <c r="W19" s="18">
        <f>COUNTIFS(C3:C846, "28",D3:D846,"MARZO", I3:I846, "MUJER")</f>
        <v>6</v>
      </c>
      <c r="X19" s="18">
        <f t="shared" si="2"/>
        <v>12</v>
      </c>
      <c r="Z19" s="46" t="s">
        <v>871</v>
      </c>
      <c r="AA19" s="46"/>
      <c r="AB19" s="46"/>
      <c r="AC19" s="25">
        <f>SUM(AC3:AC18)</f>
        <v>86</v>
      </c>
      <c r="AE19" s="46" t="s">
        <v>871</v>
      </c>
      <c r="AF19" s="46"/>
      <c r="AG19" s="46"/>
      <c r="AH19" s="25">
        <f>SUM(AH3:AH18)</f>
        <v>37</v>
      </c>
      <c r="AJ19" s="26">
        <v>28</v>
      </c>
      <c r="AK19" s="18">
        <f>COUNTIFS(C3:C846, "28",D3:D846,"JUNIO", I3:I846, "HOMBRE")</f>
        <v>0</v>
      </c>
      <c r="AL19" s="18">
        <f>COUNTIFS(C3:C846, "28",D3:D846,"JUNIO", I3:I846, "MUJER")</f>
        <v>1</v>
      </c>
      <c r="AM19" s="18">
        <f t="shared" si="5"/>
        <v>1</v>
      </c>
      <c r="AO19" s="26">
        <v>27</v>
      </c>
      <c r="AP19" s="18">
        <f>COUNTIFS(C3:C846, "27",D3:D846,"JULIO", I3:I846, "HOMBRE")</f>
        <v>1</v>
      </c>
      <c r="AQ19" s="18">
        <f>COUNTIFS(C3:C846, "27",D3:D846,"JULIO", I3:I846, "MUJER")</f>
        <v>0</v>
      </c>
      <c r="AR19" s="26">
        <f t="shared" si="6"/>
        <v>1</v>
      </c>
      <c r="AT19" s="24">
        <v>25</v>
      </c>
      <c r="AU19" s="18">
        <f>COUNTIFS(C3:C846, "25",D3:D846,"AGOSTO", I3:I846, "HOMBRE")</f>
        <v>2</v>
      </c>
      <c r="AV19" s="18">
        <f>COUNTIFS(C3:C846, "25",D3:D846,"AGOSTO", I3:I846, "MUJER")</f>
        <v>0</v>
      </c>
      <c r="AW19" s="26">
        <f t="shared" si="7"/>
        <v>2</v>
      </c>
      <c r="AY19" s="34"/>
      <c r="AZ19" s="34"/>
      <c r="BA19" s="34"/>
      <c r="BB19" s="34"/>
    </row>
    <row r="20" spans="2:54" x14ac:dyDescent="0.25">
      <c r="B20" s="1" t="s">
        <v>26</v>
      </c>
      <c r="C20" s="2">
        <v>6</v>
      </c>
      <c r="D20" s="2" t="s">
        <v>856</v>
      </c>
      <c r="E20" s="3">
        <v>2017</v>
      </c>
      <c r="F20" s="2">
        <v>18</v>
      </c>
      <c r="G20" s="2" t="s">
        <v>858</v>
      </c>
      <c r="H20" s="19">
        <v>2015</v>
      </c>
      <c r="I20" s="2" t="s">
        <v>3</v>
      </c>
      <c r="K20" s="46" t="s">
        <v>871</v>
      </c>
      <c r="L20" s="46"/>
      <c r="M20" s="46"/>
      <c r="N20" s="25">
        <f>SUM(N3:N19)</f>
        <v>78</v>
      </c>
      <c r="U20" s="24">
        <v>29</v>
      </c>
      <c r="V20" s="18">
        <f>COUNTIFS(C3:C846, "29",D3:D846,"MARZO", I3:I846, "HOMBRE")</f>
        <v>3</v>
      </c>
      <c r="W20" s="18">
        <f>COUNTIFS(C3:C846, "29",D3:D846,"MARZO", I3:I846, "MUJER")</f>
        <v>1</v>
      </c>
      <c r="X20" s="18">
        <f t="shared" si="2"/>
        <v>4</v>
      </c>
      <c r="AJ20" s="26">
        <v>29</v>
      </c>
      <c r="AK20" s="18">
        <f>COUNTIFS(C3:C846, "29",D3:D846,"JUNIO", I3:I846, "HOMBRE")</f>
        <v>0</v>
      </c>
      <c r="AL20" s="18">
        <f>COUNTIFS(C3:C846, "29",D3:D846,"JUNIO", I3:I846, "MUJER")</f>
        <v>3</v>
      </c>
      <c r="AM20" s="18">
        <f t="shared" si="5"/>
        <v>3</v>
      </c>
      <c r="AO20" s="26">
        <v>28</v>
      </c>
      <c r="AP20" s="18">
        <f>COUNTIFS(C3:C846, "28",D3:D846,"JULIO", I3:I846, "HOMBRE")</f>
        <v>1</v>
      </c>
      <c r="AQ20" s="18">
        <f>COUNTIFS(C3:C846, "28",D3:D846,"JULIO", I3:I846, "MUJER")</f>
        <v>0</v>
      </c>
      <c r="AR20" s="26">
        <f t="shared" si="6"/>
        <v>1</v>
      </c>
      <c r="AT20" s="24">
        <v>28</v>
      </c>
      <c r="AU20" s="18">
        <f>COUNTIFS(C3:C846, "28",D3:D846,"AGOSTO", I3:I846, "HOMBRE")</f>
        <v>4</v>
      </c>
      <c r="AV20" s="18">
        <f>COUNTIFS(C3:C846, "28",D3:D846,"AGOSTO", I3:I846, "MUJER")</f>
        <v>3</v>
      </c>
      <c r="AW20" s="26">
        <f t="shared" si="7"/>
        <v>7</v>
      </c>
    </row>
    <row r="21" spans="2:54" x14ac:dyDescent="0.25">
      <c r="B21" s="1" t="s">
        <v>27</v>
      </c>
      <c r="C21" s="2">
        <v>6</v>
      </c>
      <c r="D21" s="2" t="s">
        <v>856</v>
      </c>
      <c r="E21" s="3">
        <v>2017</v>
      </c>
      <c r="F21" s="2">
        <v>26</v>
      </c>
      <c r="G21" s="2" t="s">
        <v>866</v>
      </c>
      <c r="H21" s="19">
        <v>2014</v>
      </c>
      <c r="I21" s="2" t="s">
        <v>2</v>
      </c>
      <c r="U21" s="24">
        <v>30</v>
      </c>
      <c r="V21" s="18">
        <f>COUNTIFS(C3:C846, "30",D3:D846,"MARZO", I3:I846, "HOMBRE")</f>
        <v>0</v>
      </c>
      <c r="W21" s="18">
        <f>COUNTIFS(C3:C846, "30",D3:D846,"MARZO", I3:I846, "MUJER")</f>
        <v>3</v>
      </c>
      <c r="X21" s="18">
        <f t="shared" si="2"/>
        <v>3</v>
      </c>
      <c r="AJ21" s="26">
        <v>30</v>
      </c>
      <c r="AK21" s="18">
        <f>COUNTIFS(C3:C846, "30",D3:D846,"JUNIO", I3:I846, "HOMBRE")</f>
        <v>0</v>
      </c>
      <c r="AL21" s="18">
        <f>COUNTIFS(C3:C846, "30",D3:D846,"JUNIO", I3:I846, "MUJER")</f>
        <v>2</v>
      </c>
      <c r="AM21" s="18">
        <f t="shared" si="5"/>
        <v>2</v>
      </c>
      <c r="AO21" s="26">
        <v>31</v>
      </c>
      <c r="AP21" s="18">
        <f>COUNTIFS(C3:C846, "31",D3:D846,"JULIO", I3:I846, "HOMBRE")</f>
        <v>3</v>
      </c>
      <c r="AQ21" s="18">
        <f>COUNTIFS(C3:C846, "31",D3:D846,"JULIO", I3:I846, "MUJER")</f>
        <v>0</v>
      </c>
      <c r="AR21" s="26">
        <f>SUM(AP21:AQ21)</f>
        <v>3</v>
      </c>
      <c r="AT21" s="24">
        <v>29</v>
      </c>
      <c r="AU21" s="18">
        <f>COUNTIFS(C3:C846, "29",D3:D846,"AGOSTO", I3:I846, "HOMBRE")</f>
        <v>0</v>
      </c>
      <c r="AV21" s="18">
        <f>COUNTIFS(C3:C846, "29",D3:D846,"AGOSTO", I3:I846, "MUJER")</f>
        <v>2</v>
      </c>
      <c r="AW21" s="26">
        <f t="shared" si="7"/>
        <v>2</v>
      </c>
    </row>
    <row r="22" spans="2:54" ht="15" customHeight="1" x14ac:dyDescent="0.25">
      <c r="B22" s="1" t="s">
        <v>28</v>
      </c>
      <c r="C22" s="2">
        <v>6</v>
      </c>
      <c r="D22" s="2" t="s">
        <v>856</v>
      </c>
      <c r="E22" s="3">
        <v>2017</v>
      </c>
      <c r="F22" s="2">
        <v>9</v>
      </c>
      <c r="G22" s="2" t="s">
        <v>857</v>
      </c>
      <c r="H22" s="19">
        <v>2015</v>
      </c>
      <c r="I22" s="2" t="s">
        <v>2</v>
      </c>
      <c r="U22" s="24">
        <v>31</v>
      </c>
      <c r="V22" s="18">
        <f>COUNTIFS(C3:C846, "31",D3:D846,"MARZO", I3:I846, "HOMBRE")</f>
        <v>0</v>
      </c>
      <c r="W22" s="18">
        <f>COUNTIFS(C3:C846, "31",D3:D846,"MARZO", I3:I846, "MUJER")</f>
        <v>1</v>
      </c>
      <c r="X22" s="18">
        <f t="shared" si="2"/>
        <v>1</v>
      </c>
      <c r="AJ22" s="46" t="s">
        <v>871</v>
      </c>
      <c r="AK22" s="46"/>
      <c r="AL22" s="46"/>
      <c r="AM22" s="28">
        <f>SUM(AM3:AM21)</f>
        <v>46</v>
      </c>
      <c r="AO22" s="46" t="s">
        <v>871</v>
      </c>
      <c r="AP22" s="46"/>
      <c r="AQ22" s="46"/>
      <c r="AR22" s="29">
        <f>SUM(AR3:AR21)</f>
        <v>63</v>
      </c>
      <c r="AT22" s="24">
        <v>30</v>
      </c>
      <c r="AU22" s="18">
        <f>COUNTIFS(C3:C846, "31",D3:D846,"AGOSTO", I3:I846, "HOMBRE")</f>
        <v>3</v>
      </c>
      <c r="AV22" s="18">
        <f>COUNTIFS(C3:C846, "30",D3:D846,"AGOSTO", I3:I846, "MUJER")</f>
        <v>1</v>
      </c>
      <c r="AW22" s="26">
        <f t="shared" si="7"/>
        <v>4</v>
      </c>
    </row>
    <row r="23" spans="2:54" x14ac:dyDescent="0.25">
      <c r="B23" s="1" t="s">
        <v>29</v>
      </c>
      <c r="C23" s="2">
        <v>6</v>
      </c>
      <c r="D23" s="2" t="s">
        <v>856</v>
      </c>
      <c r="E23" s="3">
        <v>2017</v>
      </c>
      <c r="F23" s="2">
        <v>27</v>
      </c>
      <c r="G23" s="2" t="s">
        <v>867</v>
      </c>
      <c r="H23" s="19">
        <v>2015</v>
      </c>
      <c r="I23" s="2" t="s">
        <v>3</v>
      </c>
      <c r="K23" s="47" t="s">
        <v>883</v>
      </c>
      <c r="L23" s="47"/>
      <c r="M23" s="47"/>
      <c r="N23" s="22" t="s">
        <v>859</v>
      </c>
      <c r="P23" s="47" t="s">
        <v>884</v>
      </c>
      <c r="Q23" s="47"/>
      <c r="R23" s="47"/>
      <c r="S23" s="22" t="s">
        <v>859</v>
      </c>
      <c r="U23" s="46" t="s">
        <v>871</v>
      </c>
      <c r="V23" s="46"/>
      <c r="W23" s="46"/>
      <c r="X23" s="25">
        <f>SUM(X3:X22)</f>
        <v>119</v>
      </c>
      <c r="AT23" s="24">
        <v>31</v>
      </c>
      <c r="AU23" s="18">
        <f>COUNTIFS(C3:C846, "31",D3:D846,"AGOSTO", I3:I846, "HOMBRE")</f>
        <v>3</v>
      </c>
      <c r="AV23" s="18">
        <f>COUNTIFS(C3:C846, "31",D3:D846,"AGOSTO", I3:I846, "MUJER")</f>
        <v>2</v>
      </c>
      <c r="AW23" s="26">
        <f t="shared" si="7"/>
        <v>5</v>
      </c>
    </row>
    <row r="24" spans="2:54" x14ac:dyDescent="0.25">
      <c r="B24" s="1" t="s">
        <v>30</v>
      </c>
      <c r="C24" s="2">
        <v>6</v>
      </c>
      <c r="D24" s="2" t="s">
        <v>856</v>
      </c>
      <c r="E24" s="3">
        <v>2017</v>
      </c>
      <c r="F24" s="2">
        <v>4</v>
      </c>
      <c r="G24" s="2" t="s">
        <v>869</v>
      </c>
      <c r="H24" s="19">
        <v>2016</v>
      </c>
      <c r="I24" s="2" t="s">
        <v>3</v>
      </c>
      <c r="K24" s="23" t="s">
        <v>860</v>
      </c>
      <c r="L24" s="23" t="s">
        <v>3</v>
      </c>
      <c r="M24" s="23" t="s">
        <v>2</v>
      </c>
      <c r="N24" s="23" t="s">
        <v>862</v>
      </c>
      <c r="P24" s="23" t="s">
        <v>860</v>
      </c>
      <c r="Q24" s="23" t="s">
        <v>3</v>
      </c>
      <c r="R24" s="23" t="s">
        <v>2</v>
      </c>
      <c r="S24" s="23" t="s">
        <v>862</v>
      </c>
      <c r="AT24" s="46" t="s">
        <v>871</v>
      </c>
      <c r="AU24" s="46"/>
      <c r="AV24" s="46"/>
      <c r="AW24" s="30">
        <f>SUM(AW3:AW23)</f>
        <v>71</v>
      </c>
    </row>
    <row r="25" spans="2:54" x14ac:dyDescent="0.25">
      <c r="B25" s="1" t="s">
        <v>31</v>
      </c>
      <c r="C25" s="2">
        <v>6</v>
      </c>
      <c r="D25" s="2" t="s">
        <v>856</v>
      </c>
      <c r="E25" s="3">
        <v>2017</v>
      </c>
      <c r="F25" s="2">
        <v>18</v>
      </c>
      <c r="G25" s="2" t="s">
        <v>870</v>
      </c>
      <c r="H25" s="19">
        <v>2016</v>
      </c>
      <c r="I25" s="2" t="s">
        <v>3</v>
      </c>
      <c r="K25" s="18">
        <v>1</v>
      </c>
      <c r="L25" s="18">
        <f>COUNTIFS(C3:C846, "1",D3:D846,"SEPTIEMBRE", I3:I846, "HOMBRE")</f>
        <v>0</v>
      </c>
      <c r="M25" s="18">
        <f>COUNTIFS(C3:C846, "1",D3:D846,"SEPTIEMBRE", I3:I846, "MUJER")</f>
        <v>5</v>
      </c>
      <c r="N25" s="26">
        <f>SUM(L25:M25)</f>
        <v>5</v>
      </c>
      <c r="P25" s="18">
        <v>2</v>
      </c>
      <c r="Q25" s="18">
        <f>COUNTIFS(C3:C846, "2",D3:D846,"OCTUBRE", I3:I846, "HOMBRE")</f>
        <v>3</v>
      </c>
      <c r="R25" s="18">
        <f>COUNTIFS(C3:C846, "2",D3:D846,"OCTUBRE", I3:I846, "MUJER")</f>
        <v>1</v>
      </c>
      <c r="S25" s="26">
        <f>SUM(Q25:R25)</f>
        <v>4</v>
      </c>
      <c r="U25" s="47" t="s">
        <v>885</v>
      </c>
      <c r="V25" s="47"/>
      <c r="W25" s="47"/>
      <c r="X25" s="22" t="s">
        <v>859</v>
      </c>
      <c r="Z25" s="47" t="s">
        <v>886</v>
      </c>
      <c r="AA25" s="47"/>
      <c r="AB25" s="47"/>
      <c r="AC25" s="22" t="s">
        <v>859</v>
      </c>
    </row>
    <row r="26" spans="2:54" x14ac:dyDescent="0.25">
      <c r="B26" s="1" t="s">
        <v>32</v>
      </c>
      <c r="C26" s="2">
        <v>6</v>
      </c>
      <c r="D26" s="2" t="s">
        <v>856</v>
      </c>
      <c r="E26" s="3">
        <v>2017</v>
      </c>
      <c r="F26" s="2">
        <v>15</v>
      </c>
      <c r="G26" s="2" t="s">
        <v>857</v>
      </c>
      <c r="H26" s="19">
        <v>2016</v>
      </c>
      <c r="I26" s="2" t="s">
        <v>3</v>
      </c>
      <c r="K26" s="26">
        <v>4</v>
      </c>
      <c r="L26" s="18">
        <f>COUNTIFS(C3:C846, "4",D3:D846,"SEPTIEMBRE", I3:I846, "HOMBRE")</f>
        <v>1</v>
      </c>
      <c r="M26" s="18">
        <f>COUNTIFS(C3:C846, "4",D3:D846,"SEPTIEMBRE", I3:I846, "MUJER")</f>
        <v>2</v>
      </c>
      <c r="N26" s="26">
        <f t="shared" ref="N26:N40" si="8">SUM(L26:M26)</f>
        <v>3</v>
      </c>
      <c r="P26" s="26">
        <v>3</v>
      </c>
      <c r="Q26" s="18">
        <f>COUNTIFS(C3:C846, "3",D3:D846,"OCTUBRE", I3:I846, "HOMBRE")</f>
        <v>2</v>
      </c>
      <c r="R26" s="18">
        <f>COUNTIFS(C3:C846, "3",D3:D846,"OCTUBRE", I3:I846, "MUJER")</f>
        <v>1</v>
      </c>
      <c r="S26" s="26">
        <f t="shared" ref="S26:S47" si="9">SUM(Q26:R26)</f>
        <v>3</v>
      </c>
      <c r="U26" s="23" t="s">
        <v>860</v>
      </c>
      <c r="V26" s="23" t="s">
        <v>3</v>
      </c>
      <c r="W26" s="23" t="s">
        <v>2</v>
      </c>
      <c r="X26" s="23" t="s">
        <v>862</v>
      </c>
      <c r="Z26" s="23" t="s">
        <v>860</v>
      </c>
      <c r="AA26" s="23" t="s">
        <v>3</v>
      </c>
      <c r="AB26" s="23" t="s">
        <v>2</v>
      </c>
      <c r="AC26" s="23" t="s">
        <v>862</v>
      </c>
    </row>
    <row r="27" spans="2:54" x14ac:dyDescent="0.25">
      <c r="B27" s="1" t="s">
        <v>33</v>
      </c>
      <c r="C27" s="2">
        <v>6</v>
      </c>
      <c r="D27" s="2" t="s">
        <v>856</v>
      </c>
      <c r="E27" s="3">
        <v>2017</v>
      </c>
      <c r="F27" s="2">
        <v>10</v>
      </c>
      <c r="G27" s="2" t="s">
        <v>868</v>
      </c>
      <c r="H27" s="19">
        <v>2014</v>
      </c>
      <c r="I27" s="2" t="s">
        <v>2</v>
      </c>
      <c r="K27" s="26">
        <v>5</v>
      </c>
      <c r="L27" s="18">
        <f>COUNTIFS(C3:C846, "5",D3:D846,"SEPTIEMBRE", I3:I846, "HOMBRE")</f>
        <v>1</v>
      </c>
      <c r="M27" s="18">
        <f>COUNTIFS(C3:C846, "5",D3:D846,"SEPTIEMBRE", I3:I846, "MUJER")</f>
        <v>3</v>
      </c>
      <c r="N27" s="26">
        <f t="shared" si="8"/>
        <v>4</v>
      </c>
      <c r="P27" s="26">
        <v>4</v>
      </c>
      <c r="Q27" s="18">
        <f>COUNTIFS(C3:C846, "4",D3:D846,"OCTUBRE", I3:I846, "HOMBRE")</f>
        <v>0</v>
      </c>
      <c r="R27" s="18">
        <f>COUNTIFS(C3:C846, "4",D3:D846,"OCTUBRE", I3:I846, "MUJER")</f>
        <v>2</v>
      </c>
      <c r="S27" s="26">
        <f t="shared" si="9"/>
        <v>2</v>
      </c>
      <c r="U27" s="18">
        <v>6</v>
      </c>
      <c r="V27" s="18">
        <f>COUNTIFS(C3:C846, "6",D3:D846,"NOVIEMBRE", I3:I846, "HOMBRE")</f>
        <v>1</v>
      </c>
      <c r="W27" s="18">
        <f>COUNTIFS(C3:C846, "6",D3:D846,"NOVIEMBRE", I3:I846, "MUJER")</f>
        <v>2</v>
      </c>
      <c r="X27" s="26">
        <f>SUM(V27:W27)</f>
        <v>3</v>
      </c>
      <c r="Z27" s="18">
        <v>1</v>
      </c>
      <c r="AA27" s="18">
        <f>COUNTIFS(C3:C846, "1",D3:D846,"DICIEMBRE", I3:I846, "HOMBRE")</f>
        <v>0</v>
      </c>
      <c r="AB27" s="18">
        <f>COUNTIFS(C3:C846, "1",D3:D846,"DICIEMBRE", I3:I846, "MUJER")</f>
        <v>1</v>
      </c>
      <c r="AC27" s="26">
        <f>SUM(AA27:AB27)</f>
        <v>1</v>
      </c>
    </row>
    <row r="28" spans="2:54" x14ac:dyDescent="0.25">
      <c r="B28" s="1" t="s">
        <v>34</v>
      </c>
      <c r="C28" s="2">
        <v>6</v>
      </c>
      <c r="D28" s="2" t="s">
        <v>856</v>
      </c>
      <c r="E28" s="3">
        <v>2017</v>
      </c>
      <c r="F28" s="2">
        <v>23</v>
      </c>
      <c r="G28" s="2" t="s">
        <v>857</v>
      </c>
      <c r="H28" s="19">
        <v>2016</v>
      </c>
      <c r="I28" s="2" t="s">
        <v>5</v>
      </c>
      <c r="K28" s="26">
        <v>6</v>
      </c>
      <c r="L28" s="18">
        <f>COUNTIFS(C3:C846, "6",D3:D846,"SEPTIEMBRE", I3:I846, "HOMBRE")</f>
        <v>3</v>
      </c>
      <c r="M28" s="18">
        <f>COUNTIFS(C3:C846, "6",D3:D846,"SEPTIEMBRE", I3:I846, "MUJER")</f>
        <v>1</v>
      </c>
      <c r="N28" s="26">
        <f t="shared" si="8"/>
        <v>4</v>
      </c>
      <c r="P28" s="26">
        <v>5</v>
      </c>
      <c r="Q28" s="18">
        <f>COUNTIFS(C3:C846, "5",D3:D846,"OCTUBRE", I3:I846, "HOMBRE")</f>
        <v>1</v>
      </c>
      <c r="R28" s="18">
        <f>COUNTIFS(C3:C846, "5",D3:D846,"OCTUBRE", I3:I846, "MUJER")</f>
        <v>1</v>
      </c>
      <c r="S28" s="26">
        <f t="shared" si="9"/>
        <v>2</v>
      </c>
      <c r="U28" s="26">
        <v>7</v>
      </c>
      <c r="V28" s="18">
        <f>COUNTIFS(C3:C846, "7",D3:D846,"NOVIEMBRE", I3:I846, "HOMBRE")</f>
        <v>0</v>
      </c>
      <c r="W28" s="18">
        <f>COUNTIFS(C3:C846, "7",D3:D846,"NOVIEMBRE", I3:I846, "MUJER")</f>
        <v>2</v>
      </c>
      <c r="X28" s="26">
        <f t="shared" ref="X28:X43" si="10">SUM(V28:W28)</f>
        <v>2</v>
      </c>
      <c r="Z28" s="26">
        <v>2</v>
      </c>
      <c r="AA28" s="18">
        <f>COUNTIFS(C3:C846, "2",D3:D846,"DICIEMBRE", I3:I846, "HOMBRE")</f>
        <v>0</v>
      </c>
      <c r="AB28" s="18">
        <f>COUNTIFS(C3:C846, "2",D3:D846,"DICIEMBRE", I3:I846, "MUJER")</f>
        <v>3</v>
      </c>
      <c r="AC28" s="26">
        <f t="shared" ref="AC28:AC46" si="11">SUM(AA28:AB28)</f>
        <v>3</v>
      </c>
    </row>
    <row r="29" spans="2:54" x14ac:dyDescent="0.25">
      <c r="B29" s="1" t="s">
        <v>35</v>
      </c>
      <c r="C29" s="2">
        <v>6</v>
      </c>
      <c r="D29" s="2" t="s">
        <v>856</v>
      </c>
      <c r="E29" s="3">
        <v>2017</v>
      </c>
      <c r="F29" s="2">
        <v>29</v>
      </c>
      <c r="G29" s="2" t="s">
        <v>858</v>
      </c>
      <c r="H29" s="19">
        <v>2015</v>
      </c>
      <c r="I29" s="2" t="s">
        <v>3</v>
      </c>
      <c r="K29" s="26">
        <v>7</v>
      </c>
      <c r="L29" s="18">
        <f>COUNTIFS(C3:C846, "7",D3:D846,"SEPTIEMBRE", I3:I846, "HOMBRE")</f>
        <v>2</v>
      </c>
      <c r="M29" s="18">
        <f>COUNTIFS(C3:C846, "7",D3:D846,"SEPTIEMBRE", I3:I846, "MUJER")</f>
        <v>3</v>
      </c>
      <c r="N29" s="26">
        <f t="shared" si="8"/>
        <v>5</v>
      </c>
      <c r="P29" s="26">
        <v>6</v>
      </c>
      <c r="Q29" s="18">
        <f>COUNTIFS(C3:C846, "6",D3:D846,"OCTUBRE", I3:I846, "HOMBRE")</f>
        <v>2</v>
      </c>
      <c r="R29" s="18">
        <f>COUNTIFS(C3:C846, "6",D3:D846,"OCTUBRE", I3:I846, "MUJER")</f>
        <v>1</v>
      </c>
      <c r="S29" s="26">
        <f t="shared" si="9"/>
        <v>3</v>
      </c>
      <c r="U29" s="26">
        <v>8</v>
      </c>
      <c r="V29" s="18">
        <f>COUNTIFS(C3:C846, "8",D3:D846,"NOVIEMBRE", I3:I846, "HOMBRE")</f>
        <v>6</v>
      </c>
      <c r="W29" s="18">
        <f>COUNTIFS(C3:C846, "8",D3:D846,"NOVIEMBRE", I3:I846, "MUJER")</f>
        <v>3</v>
      </c>
      <c r="X29" s="26">
        <f t="shared" si="10"/>
        <v>9</v>
      </c>
      <c r="Z29" s="26">
        <v>4</v>
      </c>
      <c r="AA29" s="18">
        <f>COUNTIFS(C3:C846, "4",D3:D846,"DICIEMBRE", I3:I846, "HOMBRE")</f>
        <v>6</v>
      </c>
      <c r="AB29" s="18">
        <f>COUNTIFS(C3:C846, "4",D3:D846,"DICIEMBRE", I3:I846, "MUJER")</f>
        <v>2</v>
      </c>
      <c r="AC29" s="26">
        <f t="shared" si="11"/>
        <v>8</v>
      </c>
    </row>
    <row r="30" spans="2:54" x14ac:dyDescent="0.25">
      <c r="B30" s="1" t="s">
        <v>36</v>
      </c>
      <c r="C30" s="2">
        <v>6</v>
      </c>
      <c r="D30" s="2" t="s">
        <v>856</v>
      </c>
      <c r="E30" s="3">
        <v>2017</v>
      </c>
      <c r="F30" s="2">
        <v>4</v>
      </c>
      <c r="G30" s="2" t="s">
        <v>866</v>
      </c>
      <c r="H30" s="19">
        <v>2015</v>
      </c>
      <c r="I30" s="2" t="s">
        <v>3</v>
      </c>
      <c r="K30" s="26">
        <v>12</v>
      </c>
      <c r="L30" s="18">
        <f>COUNTIFS(C3:C846, "12",D3:D846,"SEPTIEMBRE", I3:I846, "HOMBRE")</f>
        <v>0</v>
      </c>
      <c r="M30" s="18">
        <f>COUNTIFS(C3:C846, "12",D3:D846,"SEPTIEMBRE", I8:I851, "MUJER")</f>
        <v>2</v>
      </c>
      <c r="N30" s="26">
        <f t="shared" si="8"/>
        <v>2</v>
      </c>
      <c r="P30" s="26">
        <v>9</v>
      </c>
      <c r="Q30" s="18">
        <f>COUNTIFS(C3:C846, "9",D3:D846,"OCTUBRE", I3:I846, "HOMBRE")</f>
        <v>1</v>
      </c>
      <c r="R30" s="18">
        <f>COUNTIFS(C3:C846, "9",D3:D846,"OCTUBRE", I3:I846, "MUJER")</f>
        <v>2</v>
      </c>
      <c r="S30" s="26">
        <f t="shared" si="9"/>
        <v>3</v>
      </c>
      <c r="U30" s="26">
        <v>9</v>
      </c>
      <c r="V30" s="18">
        <f>COUNTIFS(C3:C846, "9",D3:D846,"NOVIEMBRE", I3:I846, "HOMBRE")</f>
        <v>4</v>
      </c>
      <c r="W30" s="18">
        <f>COUNTIFS(C3:C846, "9",D3:D846,"NOVIEMBRE", I3:I846, "MUJER")</f>
        <v>0</v>
      </c>
      <c r="X30" s="26">
        <f t="shared" si="10"/>
        <v>4</v>
      </c>
      <c r="Z30" s="26">
        <v>5</v>
      </c>
      <c r="AA30" s="18">
        <f>COUNTIFS(C3:C846, "5",D3:D846,"DICIEMBRE", I3:I846, "HOMBRE")</f>
        <v>2</v>
      </c>
      <c r="AB30" s="18">
        <f>COUNTIFS(C3:C846, "5",D3:D846,"DICIEMBRE", I3:I846, "MUJER")</f>
        <v>3</v>
      </c>
      <c r="AC30" s="26">
        <f t="shared" si="11"/>
        <v>5</v>
      </c>
    </row>
    <row r="31" spans="2:54" x14ac:dyDescent="0.25">
      <c r="B31" s="1" t="s">
        <v>37</v>
      </c>
      <c r="C31" s="2">
        <v>6</v>
      </c>
      <c r="D31" s="2" t="s">
        <v>856</v>
      </c>
      <c r="E31" s="3">
        <v>2017</v>
      </c>
      <c r="F31" s="2">
        <v>27</v>
      </c>
      <c r="G31" s="2" t="s">
        <v>857</v>
      </c>
      <c r="H31" s="19">
        <v>2016</v>
      </c>
      <c r="I31" s="2" t="s">
        <v>2</v>
      </c>
      <c r="K31" s="26">
        <v>13</v>
      </c>
      <c r="L31" s="18">
        <f>COUNTIFS(C3:C846, "13",D3:D846,"SEPTIEMBRE", I3:I846, "HOMBRE")</f>
        <v>0</v>
      </c>
      <c r="M31" s="18">
        <f>COUNTIFS(C3:C846, "13",D3:D846,"SEPTIEMBRE", I3:I846, "MUJER")</f>
        <v>1</v>
      </c>
      <c r="N31" s="26">
        <f t="shared" si="8"/>
        <v>1</v>
      </c>
      <c r="P31" s="26">
        <v>10</v>
      </c>
      <c r="Q31" s="18">
        <f>COUNTIFS(C3:C846, "10",D3:D846,"OCTUBRE", I3:I846, "HOMBRE")</f>
        <v>1</v>
      </c>
      <c r="R31" s="18">
        <f>COUNTIFS(C3:C846, "10",D3:D846,"OCTUBRE", I3:I846, "MUJER")</f>
        <v>1</v>
      </c>
      <c r="S31" s="26">
        <f t="shared" si="9"/>
        <v>2</v>
      </c>
      <c r="U31" s="26">
        <v>10</v>
      </c>
      <c r="V31" s="18">
        <f>COUNTIFS(C3:C846, "10",D3:D846,"NOVIEMBRE", I3:I846, "HOMBRE")</f>
        <v>3</v>
      </c>
      <c r="W31" s="18">
        <f>COUNTIFS(C3:C846, "10",D3:D846,"NOVIEMBRE", I3:I846, "MUJER")</f>
        <v>1</v>
      </c>
      <c r="X31" s="26">
        <f t="shared" si="10"/>
        <v>4</v>
      </c>
      <c r="Z31" s="26">
        <v>6</v>
      </c>
      <c r="AA31" s="18">
        <f>COUNTIFS(C3:C846, "6",D3:D846,"DICIEMBRE", I3:I846, "HOMBRE")</f>
        <v>3</v>
      </c>
      <c r="AB31" s="18">
        <f>COUNTIFS(C3:C846, "6",D3:D846,"DICIEMBRE", I3:I846, "MUJER")</f>
        <v>3</v>
      </c>
      <c r="AC31" s="26">
        <f t="shared" si="11"/>
        <v>6</v>
      </c>
    </row>
    <row r="32" spans="2:54" x14ac:dyDescent="0.25">
      <c r="B32" s="1" t="s">
        <v>38</v>
      </c>
      <c r="C32" s="2">
        <v>6</v>
      </c>
      <c r="D32" s="2" t="s">
        <v>856</v>
      </c>
      <c r="E32" s="3">
        <v>2017</v>
      </c>
      <c r="F32" s="2">
        <v>20</v>
      </c>
      <c r="G32" s="2" t="s">
        <v>857</v>
      </c>
      <c r="H32" s="19">
        <v>2016</v>
      </c>
      <c r="I32" s="2" t="s">
        <v>2</v>
      </c>
      <c r="K32" s="26">
        <v>14</v>
      </c>
      <c r="L32" s="18">
        <f>COUNTIFS(C3:C846, "14",D3:D846,"SEPTIEMBRE", I3:I846, "HOMBRE")</f>
        <v>0</v>
      </c>
      <c r="M32" s="18">
        <f>COUNTIFS(C3:C846, "14",D3:D846,"SEPTIEMBRE", I3:I846, "MUJER")</f>
        <v>1</v>
      </c>
      <c r="N32" s="26">
        <f t="shared" si="8"/>
        <v>1</v>
      </c>
      <c r="P32" s="26">
        <v>11</v>
      </c>
      <c r="Q32" s="18">
        <f>COUNTIFS(C3:C846, "11",D3:D846,"OCTUBRE", I3:I846, "HOMBRE")</f>
        <v>2</v>
      </c>
      <c r="R32" s="18">
        <f>COUNTIFS(C3:C846, "11",D3:D846,"OCTUBRE", I3:I846, "MUJER")</f>
        <v>2</v>
      </c>
      <c r="S32" s="26">
        <f t="shared" si="9"/>
        <v>4</v>
      </c>
      <c r="U32" s="26">
        <v>11</v>
      </c>
      <c r="V32" s="18">
        <f>COUNTIFS(C3:C846, "11",D3:D846,"NOVIEMBRE", I3:I846, "HOMBRE")</f>
        <v>1</v>
      </c>
      <c r="W32" s="18">
        <f>COUNTIFS(C3:C846, "11",D3:D846,"NOVIEMBRE", I3:I846, "MUJER")</f>
        <v>5</v>
      </c>
      <c r="X32" s="26">
        <f t="shared" si="10"/>
        <v>6</v>
      </c>
      <c r="Z32" s="26">
        <v>7</v>
      </c>
      <c r="AA32" s="18">
        <f>COUNTIFS(C3:C846, "7",D3:D846,"DICIEMBRE", I3:I846, "HOMBRE")</f>
        <v>1</v>
      </c>
      <c r="AB32" s="18">
        <f>COUNTIFS(C3:C846, "7",D3:D846,"DICIEMBRE", I3:I846, "MUJER")</f>
        <v>1</v>
      </c>
      <c r="AC32" s="26">
        <f t="shared" si="11"/>
        <v>2</v>
      </c>
    </row>
    <row r="33" spans="2:29" x14ac:dyDescent="0.25">
      <c r="B33" s="1" t="s">
        <v>39</v>
      </c>
      <c r="C33" s="2">
        <v>6</v>
      </c>
      <c r="D33" s="2" t="s">
        <v>856</v>
      </c>
      <c r="E33" s="3">
        <v>2017</v>
      </c>
      <c r="F33" s="2">
        <v>16</v>
      </c>
      <c r="G33" s="2" t="s">
        <v>863</v>
      </c>
      <c r="H33" s="19">
        <v>1968</v>
      </c>
      <c r="I33" s="2" t="s">
        <v>3</v>
      </c>
      <c r="K33" s="26">
        <v>18</v>
      </c>
      <c r="L33" s="18">
        <f>COUNTIFS(C3:C846, "18",D3:D846,"SEPTIEMBRE", I3:I846, "HOMBRE")</f>
        <v>1</v>
      </c>
      <c r="M33" s="18">
        <f>COUNTIFS(C3:C846, "18",D3:D846,"SEPTIEMBRE", I3:I846, "MUJER")</f>
        <v>3</v>
      </c>
      <c r="N33" s="26">
        <f t="shared" si="8"/>
        <v>4</v>
      </c>
      <c r="P33" s="26">
        <v>12</v>
      </c>
      <c r="Q33" s="18">
        <f>COUNTIFS(C3:C846, "12",D3:D846,"OCTUBRE", I3:I846, "HOMBRE")</f>
        <v>4</v>
      </c>
      <c r="R33" s="18">
        <f>COUNTIFS(C3:C846, "12",D3:D846,"OCTUBRE", I3:I846, "MUJER")</f>
        <v>2</v>
      </c>
      <c r="S33" s="26">
        <f t="shared" si="9"/>
        <v>6</v>
      </c>
      <c r="U33" s="26">
        <v>13</v>
      </c>
      <c r="V33" s="18">
        <f>COUNTIFS(C3:C846, "13",D3:D846,"NOVIEMBRE", I3:I846, "HOMBRE")</f>
        <v>5</v>
      </c>
      <c r="W33" s="18">
        <f>COUNTIFS(C3:C846, "13",D3:D846,"NOVIEMBRE", I3:I846, "MUJER")</f>
        <v>3</v>
      </c>
      <c r="X33" s="26">
        <f t="shared" si="10"/>
        <v>8</v>
      </c>
      <c r="Z33" s="26">
        <v>8</v>
      </c>
      <c r="AA33" s="18">
        <f>COUNTIFS(C3:C846, "8",D3:D846,"DICIEMBRE", I3:I846, "HOMBRE")</f>
        <v>0</v>
      </c>
      <c r="AB33" s="18">
        <f>COUNTIFS(C3:C846, "8",D3:D846,"DICIEMBRE", I3:I846, "MUJER")</f>
        <v>1</v>
      </c>
      <c r="AC33" s="26">
        <f t="shared" si="11"/>
        <v>1</v>
      </c>
    </row>
    <row r="34" spans="2:29" x14ac:dyDescent="0.25">
      <c r="B34" s="1" t="s">
        <v>40</v>
      </c>
      <c r="C34" s="2">
        <v>6</v>
      </c>
      <c r="D34" s="2" t="s">
        <v>856</v>
      </c>
      <c r="E34" s="3">
        <v>2017</v>
      </c>
      <c r="F34" s="2">
        <v>2</v>
      </c>
      <c r="G34" s="2" t="s">
        <v>863</v>
      </c>
      <c r="H34" s="19">
        <v>2016</v>
      </c>
      <c r="I34" s="2" t="s">
        <v>3</v>
      </c>
      <c r="K34" s="26">
        <v>19</v>
      </c>
      <c r="L34" s="18">
        <f>COUNTIFS(C3:C846, "19",D3:D846,"SEPTIEMBRE", I3:I846, "HOMBRE")</f>
        <v>0</v>
      </c>
      <c r="M34" s="18">
        <f>COUNTIFS(C3:C846, "19",D3:D846,"SEPTIEMBRE", I3:I846, "MUJER")</f>
        <v>0</v>
      </c>
      <c r="N34" s="26">
        <f t="shared" si="8"/>
        <v>0</v>
      </c>
      <c r="P34" s="26">
        <v>13</v>
      </c>
      <c r="Q34" s="18">
        <f>COUNTIFS(C3:C846, "13",D3:D846,"OCTUBRE", I3:I846, "HOMBRE")</f>
        <v>1</v>
      </c>
      <c r="R34" s="18">
        <f>COUNTIFS(C3:C846, "13",D3:D846,"OCTUBRE", I3:I846, "MUJER")</f>
        <v>0</v>
      </c>
      <c r="S34" s="26">
        <f t="shared" si="9"/>
        <v>1</v>
      </c>
      <c r="U34" s="26">
        <v>14</v>
      </c>
      <c r="V34" s="18">
        <f>COUNTIFS(C3:C846, "14",D3:D846,"NOVIEMBRE", I3:I846, "HOMBRE")</f>
        <v>1</v>
      </c>
      <c r="W34" s="18">
        <f>COUNTIFS(C3:C846, "14",D3:D846,"NOVIEMBRE", I3:I846, "MUJER")</f>
        <v>0</v>
      </c>
      <c r="X34" s="26">
        <f t="shared" si="10"/>
        <v>1</v>
      </c>
      <c r="Z34" s="26">
        <v>11</v>
      </c>
      <c r="AA34" s="18">
        <f>COUNTIFS(C3:C846, "11",D3:D846,"DICIEMBRE", I3:I846, "HOMBRE")</f>
        <v>1</v>
      </c>
      <c r="AB34" s="18">
        <f>COUNTIFS(C3:C846, "11",D3:D846,"DICIEMBRE", I3:I846, "MUJER")</f>
        <v>1</v>
      </c>
      <c r="AC34" s="26">
        <f t="shared" si="11"/>
        <v>2</v>
      </c>
    </row>
    <row r="35" spans="2:29" x14ac:dyDescent="0.25">
      <c r="B35" s="1" t="s">
        <v>41</v>
      </c>
      <c r="C35" s="2">
        <v>6</v>
      </c>
      <c r="D35" s="2" t="s">
        <v>856</v>
      </c>
      <c r="E35" s="3">
        <v>2017</v>
      </c>
      <c r="F35" s="2">
        <v>25</v>
      </c>
      <c r="G35" s="2" t="s">
        <v>863</v>
      </c>
      <c r="H35" s="19">
        <v>2016</v>
      </c>
      <c r="I35" s="2" t="s">
        <v>3</v>
      </c>
      <c r="K35" s="26">
        <v>20</v>
      </c>
      <c r="L35" s="18">
        <f>COUNTIFS(C3:C846, "20",D3:D846,"SEPTIEMBRE", I3:I846, "HOMBRE")</f>
        <v>1</v>
      </c>
      <c r="M35" s="18">
        <f>COUNTIFS(C3:C846, "20",D3:D846,"SEPTIEMBRE", I3:I846, "MUJER")</f>
        <v>1</v>
      </c>
      <c r="N35" s="26">
        <f t="shared" si="8"/>
        <v>2</v>
      </c>
      <c r="P35" s="26">
        <v>16</v>
      </c>
      <c r="Q35" s="18">
        <f>COUNTIFS(C3:C846, "16",D3:D846,"OCTUBRE", I3:I846, "HOMBRE")</f>
        <v>2</v>
      </c>
      <c r="R35" s="18">
        <f>COUNTIFS(C3:C846, "16",D3:D846,"OCTUBRE", I3:I846, "MUJER")</f>
        <v>4</v>
      </c>
      <c r="S35" s="26">
        <f t="shared" si="9"/>
        <v>6</v>
      </c>
      <c r="U35" s="26">
        <v>15</v>
      </c>
      <c r="V35" s="18">
        <f>COUNTIFS(C3:C846, "15",D3:D846,"NOVIEMBRE", I3:I846, "HOMBRE")</f>
        <v>1</v>
      </c>
      <c r="W35" s="18">
        <f>COUNTIFS(C3:C846, "15",D3:D846,"NOVIEMBRE", I3:I846, "MUJER")</f>
        <v>0</v>
      </c>
      <c r="X35" s="26">
        <f t="shared" si="10"/>
        <v>1</v>
      </c>
      <c r="Z35" s="26">
        <v>12</v>
      </c>
      <c r="AA35" s="18">
        <f>COUNTIFS(C3:C846, "12",D3:D846,"DICIEMBRE", I3:I846, "HOMBRE")</f>
        <v>3</v>
      </c>
      <c r="AB35" s="18">
        <f>COUNTIFS(C3:C846, "12",D3:D846,"DICIEMBRE", I11:I854, "MUJER")</f>
        <v>2</v>
      </c>
      <c r="AC35" s="26">
        <f t="shared" si="11"/>
        <v>5</v>
      </c>
    </row>
    <row r="36" spans="2:29" x14ac:dyDescent="0.25">
      <c r="B36" s="1" t="s">
        <v>42</v>
      </c>
      <c r="C36" s="2">
        <v>6</v>
      </c>
      <c r="D36" s="2" t="s">
        <v>856</v>
      </c>
      <c r="E36" s="3">
        <v>2017</v>
      </c>
      <c r="F36" s="2">
        <v>1</v>
      </c>
      <c r="G36" s="2" t="s">
        <v>857</v>
      </c>
      <c r="H36" s="19">
        <v>2016</v>
      </c>
      <c r="I36" s="2" t="s">
        <v>3</v>
      </c>
      <c r="K36" s="26">
        <v>22</v>
      </c>
      <c r="L36" s="18">
        <f>COUNTIFS(C3:C846, "22",D3:D846,"SEPTIEMBRE", I3:I846, "HOMBRE")</f>
        <v>0</v>
      </c>
      <c r="M36" s="18">
        <f>COUNTIFS(C3:C846, "22",D3:D846,"SEPTIEMBRE", I3:I846, "MUJER")</f>
        <v>3</v>
      </c>
      <c r="N36" s="26">
        <f t="shared" si="8"/>
        <v>3</v>
      </c>
      <c r="P36" s="26">
        <v>17</v>
      </c>
      <c r="Q36" s="18">
        <f>COUNTIFS(C3:C846, "17",D3:D846,"OCTUBRE", I3:I846, "HOMBRE")</f>
        <v>5</v>
      </c>
      <c r="R36" s="18">
        <f>COUNTIFS(C3:C846, "17",D3:D846,"OCTUBRE", I3:I846, "MUJER")</f>
        <v>1</v>
      </c>
      <c r="S36" s="26">
        <f t="shared" si="9"/>
        <v>6</v>
      </c>
      <c r="U36" s="26">
        <v>16</v>
      </c>
      <c r="V36" s="18">
        <f>COUNTIFS(C3:C846, "16",D3:D846,"NOVIEMBRE", I3:I846, "HOMBRE")</f>
        <v>1</v>
      </c>
      <c r="W36" s="18">
        <f>COUNTIFS(C3:C846, "16",D3:D846,"NOVIEMBRE", I3:I846, "MUJER")</f>
        <v>0</v>
      </c>
      <c r="X36" s="26">
        <f t="shared" si="10"/>
        <v>1</v>
      </c>
      <c r="Z36" s="26">
        <v>13</v>
      </c>
      <c r="AA36" s="18">
        <f>COUNTIFS(C3:C846, "13",D3:D846,"DICIEMBRE", I3:I846, "HOMBRE")</f>
        <v>2</v>
      </c>
      <c r="AB36" s="18">
        <f>COUNTIFS(C3:C846, "13",D3:D846,"DICIEMBRE", I3:I846, "MUJER")</f>
        <v>2</v>
      </c>
      <c r="AC36" s="26">
        <f t="shared" si="11"/>
        <v>4</v>
      </c>
    </row>
    <row r="37" spans="2:29" x14ac:dyDescent="0.25">
      <c r="B37" s="1" t="s">
        <v>43</v>
      </c>
      <c r="C37" s="2">
        <v>6</v>
      </c>
      <c r="D37" s="2" t="s">
        <v>856</v>
      </c>
      <c r="E37" s="3">
        <v>2017</v>
      </c>
      <c r="F37" s="2">
        <v>8</v>
      </c>
      <c r="G37" s="2" t="s">
        <v>857</v>
      </c>
      <c r="H37" s="19">
        <v>2016</v>
      </c>
      <c r="I37" s="2" t="s">
        <v>3</v>
      </c>
      <c r="K37" s="26">
        <v>25</v>
      </c>
      <c r="L37" s="18">
        <f>COUNTIFS(C3:C846, "25",D3:D846,"SEPTIEMBRE", I3:I846, "HOMBRE")</f>
        <v>2</v>
      </c>
      <c r="M37" s="18">
        <f>COUNTIFS(C3:C846, "25",D3:D846,"SEPTIEMBRE", I3:I846, "MUJER")</f>
        <v>3</v>
      </c>
      <c r="N37" s="26">
        <f t="shared" si="8"/>
        <v>5</v>
      </c>
      <c r="P37" s="26">
        <v>18</v>
      </c>
      <c r="Q37" s="18">
        <f>COUNTIFS(C3:C846, "18",D3:D846,"OCTUBRE", I3:I846, "HOMBRE")</f>
        <v>0</v>
      </c>
      <c r="R37" s="18">
        <f>COUNTIFS(C3:C846, "18",D3:D846,"OCTUBRE", I3:I846, "MUJER")</f>
        <v>0</v>
      </c>
      <c r="S37" s="26">
        <f t="shared" si="9"/>
        <v>0</v>
      </c>
      <c r="U37" s="26">
        <v>21</v>
      </c>
      <c r="V37" s="18">
        <f>COUNTIFS(C3:C846, "21",D3:D846,"NOVIEMBRE", I13:I856, "HOMBRE")</f>
        <v>1</v>
      </c>
      <c r="W37" s="18">
        <f>COUNTIFS(C3:C846, "21",D3:D846,"NOVIEMBRE", I3:I846, "MUJER")</f>
        <v>0</v>
      </c>
      <c r="X37" s="26">
        <f t="shared" si="10"/>
        <v>1</v>
      </c>
      <c r="Z37" s="26">
        <v>14</v>
      </c>
      <c r="AA37" s="18">
        <f>COUNTIFS(C3:C846, "14",D3:D846,"DICIEMBRE", I3:I846, "HOMBRE")</f>
        <v>1</v>
      </c>
      <c r="AB37" s="18">
        <f>COUNTIFS(C3:C846, "14",D3:D846,"DICIEMBRE", I3:I846, "MUJER")</f>
        <v>0</v>
      </c>
      <c r="AC37" s="26">
        <f t="shared" si="11"/>
        <v>1</v>
      </c>
    </row>
    <row r="38" spans="2:29" x14ac:dyDescent="0.25">
      <c r="B38" s="1" t="s">
        <v>44</v>
      </c>
      <c r="C38" s="2">
        <v>6</v>
      </c>
      <c r="D38" s="2" t="s">
        <v>856</v>
      </c>
      <c r="E38" s="3">
        <v>2017</v>
      </c>
      <c r="F38" s="2">
        <v>28</v>
      </c>
      <c r="G38" s="2" t="s">
        <v>867</v>
      </c>
      <c r="H38" s="19">
        <v>2013</v>
      </c>
      <c r="I38" s="2" t="s">
        <v>2</v>
      </c>
      <c r="K38" s="26">
        <v>26</v>
      </c>
      <c r="L38" s="18">
        <f>COUNTIFS(C3:C846, "26",D3:D846,"SEPTIEMBRE", I3:I846, "HOMBRE")</f>
        <v>6</v>
      </c>
      <c r="M38" s="18">
        <f>COUNTIFS(C3:C846, "26",D3:D846,"SEPTIEMBRE", I3:I846, "MUJER")</f>
        <v>2</v>
      </c>
      <c r="N38" s="26">
        <f t="shared" si="8"/>
        <v>8</v>
      </c>
      <c r="P38" s="26">
        <v>19</v>
      </c>
      <c r="Q38" s="18">
        <f>COUNTIFS(C3:C846, "19",D3:D846,"OCTUBRE", I3:I846, "HOMBRE")</f>
        <v>0</v>
      </c>
      <c r="R38" s="18">
        <f>COUNTIFS(C3:C846, "19",D3:D846,"OCTUBRE", I3:I846, "MUJER")</f>
        <v>2</v>
      </c>
      <c r="S38" s="26">
        <f t="shared" si="9"/>
        <v>2</v>
      </c>
      <c r="U38" s="26">
        <v>22</v>
      </c>
      <c r="V38" s="18">
        <f>COUNTIFS(C3:C846, "22",D3:D846,"NOVIEMBRE", I3:I846, "HOMBRE")</f>
        <v>3</v>
      </c>
      <c r="W38" s="18">
        <f>COUNTIFS(C3:C846, "22",D3:D846,"NOVIEMBRE", I3:I846, "MUJER")</f>
        <v>0</v>
      </c>
      <c r="X38" s="26">
        <f t="shared" si="10"/>
        <v>3</v>
      </c>
      <c r="Z38" s="26">
        <v>15</v>
      </c>
      <c r="AA38" s="18">
        <f>COUNTIFS(C3:C846, "15",D3:D846,"DICIEMBRE", I3:I846, "HOMBRE")</f>
        <v>2</v>
      </c>
      <c r="AB38" s="18">
        <f>COUNTIFS(C3:C846, "15",D3:D846,"DICIEMBRE", I3:I846, "MUJER")</f>
        <v>0</v>
      </c>
      <c r="AC38" s="26">
        <f t="shared" si="11"/>
        <v>2</v>
      </c>
    </row>
    <row r="39" spans="2:29" x14ac:dyDescent="0.25">
      <c r="B39" s="1" t="s">
        <v>45</v>
      </c>
      <c r="C39" s="2">
        <v>6</v>
      </c>
      <c r="D39" s="2" t="s">
        <v>856</v>
      </c>
      <c r="E39" s="3">
        <v>2017</v>
      </c>
      <c r="F39" s="2">
        <v>14</v>
      </c>
      <c r="G39" s="2" t="s">
        <v>867</v>
      </c>
      <c r="H39" s="19">
        <v>2016</v>
      </c>
      <c r="I39" s="2" t="s">
        <v>2</v>
      </c>
      <c r="K39" s="26">
        <v>28</v>
      </c>
      <c r="L39" s="18">
        <f>COUNTIFS(C3:C846, "28",D3:D846,"SEPTIEMBRE", I3:I846, "HOMBRE")</f>
        <v>1</v>
      </c>
      <c r="M39" s="18">
        <f>COUNTIFS(C3:C846, "28",D3:D846,"SEPTIEMBRE", I3:I846, "MUJER")</f>
        <v>2</v>
      </c>
      <c r="N39" s="26">
        <f t="shared" si="8"/>
        <v>3</v>
      </c>
      <c r="P39" s="26">
        <v>20</v>
      </c>
      <c r="Q39" s="18">
        <f>COUNTIFS(C3:C846, "20",D3:D846,"OCTUBRE", I3:I846, "HOMBRE")</f>
        <v>0</v>
      </c>
      <c r="R39" s="18">
        <f>COUNTIFS(C3:C846, "20",D3:D846,"OCTUBRE", I3:I846, "MUJER")</f>
        <v>1</v>
      </c>
      <c r="S39" s="26">
        <f t="shared" si="9"/>
        <v>1</v>
      </c>
      <c r="U39" s="26">
        <v>23</v>
      </c>
      <c r="V39" s="18">
        <f>COUNTIFS(C3:C846, "23",D3:D846,"NOVIEMBRE", I3:I846, "HOMBRE")</f>
        <v>0</v>
      </c>
      <c r="W39" s="18">
        <f>COUNTIFS(C3:C846, "23",D3:D846,"NOVIEMBRE", I3:I846, "MUJER")</f>
        <v>2</v>
      </c>
      <c r="X39" s="26">
        <f t="shared" si="10"/>
        <v>2</v>
      </c>
      <c r="Z39" s="26">
        <v>18</v>
      </c>
      <c r="AA39" s="18">
        <f>COUNTIFS(C3:C846, "18",D3:D846,"DICIEMBRE", I3:I846, "HOMBRE")</f>
        <v>1</v>
      </c>
      <c r="AB39" s="18">
        <f>COUNTIFS(C3:C846, "18",D3:D846,"DICIEMBRE", I3:I846, "MUJER")</f>
        <v>1</v>
      </c>
      <c r="AC39" s="26">
        <f t="shared" si="11"/>
        <v>2</v>
      </c>
    </row>
    <row r="40" spans="2:29" x14ac:dyDescent="0.25">
      <c r="B40" s="1" t="s">
        <v>46</v>
      </c>
      <c r="C40" s="2">
        <v>6</v>
      </c>
      <c r="D40" s="2" t="s">
        <v>856</v>
      </c>
      <c r="E40" s="3">
        <v>2017</v>
      </c>
      <c r="F40" s="2">
        <v>24</v>
      </c>
      <c r="G40" s="2" t="s">
        <v>858</v>
      </c>
      <c r="H40" s="19">
        <v>2016</v>
      </c>
      <c r="I40" s="2" t="s">
        <v>3</v>
      </c>
      <c r="K40" s="26">
        <v>29</v>
      </c>
      <c r="L40" s="18">
        <f>COUNTIFS(C3:C846, "29",D3:D846,"SEPTIEMBRE", I3:I846, "HOMBRE")</f>
        <v>0</v>
      </c>
      <c r="M40" s="18">
        <f>COUNTIFS(C3:C846, "29",D3:D846,"SEPTIEMBRE", I3:I846, "MUJER")</f>
        <v>5</v>
      </c>
      <c r="N40" s="26">
        <f t="shared" si="8"/>
        <v>5</v>
      </c>
      <c r="P40" s="26">
        <v>21</v>
      </c>
      <c r="Q40" s="18">
        <f>COUNTIFS(C3:C846, "21",D3:D846,"OCTUBRE", I3:I846, "HOMBRE")</f>
        <v>7</v>
      </c>
      <c r="R40" s="18">
        <f>COUNTIFS(C3:C846, "21",D3:D846,"OCTUBRE", I3:I846, "MUJER")</f>
        <v>3</v>
      </c>
      <c r="S40" s="26">
        <f t="shared" si="9"/>
        <v>10</v>
      </c>
      <c r="U40" s="26">
        <v>24</v>
      </c>
      <c r="V40" s="18">
        <f>COUNTIFS(C3:C846, "24",D3:D846,"NOVIEMBRE", I3:I846, "HOMBRE")</f>
        <v>2</v>
      </c>
      <c r="W40" s="18">
        <f>COUNTIFS(C3:C846, "24",D3:D846,"NOVIEMBRE", I3:I846, "MUJER")</f>
        <v>0</v>
      </c>
      <c r="X40" s="26">
        <f t="shared" si="10"/>
        <v>2</v>
      </c>
      <c r="Z40" s="26">
        <v>19</v>
      </c>
      <c r="AA40" s="18">
        <f>COUNTIFS(C3:C846, "19",D3:D846,"DICIEMBRE", I3:I846, "HOMBRE")</f>
        <v>1</v>
      </c>
      <c r="AB40" s="18">
        <f>COUNTIFS(C3:C846, "19",D3:D846,"DICIEMBRE", I3:I846, "MUJER")</f>
        <v>2</v>
      </c>
      <c r="AC40" s="26">
        <f t="shared" si="11"/>
        <v>3</v>
      </c>
    </row>
    <row r="41" spans="2:29" x14ac:dyDescent="0.25">
      <c r="B41" s="1" t="s">
        <v>47</v>
      </c>
      <c r="C41" s="2">
        <v>6</v>
      </c>
      <c r="D41" s="2" t="s">
        <v>856</v>
      </c>
      <c r="E41" s="3">
        <v>2017</v>
      </c>
      <c r="F41" s="2">
        <v>27</v>
      </c>
      <c r="G41" s="2" t="s">
        <v>866</v>
      </c>
      <c r="H41" s="19">
        <v>2016</v>
      </c>
      <c r="I41" s="2" t="s">
        <v>2</v>
      </c>
      <c r="K41" s="46" t="s">
        <v>871</v>
      </c>
      <c r="L41" s="46"/>
      <c r="M41" s="46"/>
      <c r="N41" s="29">
        <f>SUM(N25:N40)</f>
        <v>55</v>
      </c>
      <c r="P41" s="26">
        <v>23</v>
      </c>
      <c r="Q41" s="18">
        <f>COUNTIFS(C3:C846, "23",D3:D846,"OCTUBRE", I3:I846, "HOMBRE")</f>
        <v>2</v>
      </c>
      <c r="R41" s="18">
        <f>COUNTIFS(C3:C846, "23",D3:D846,"OCTUBRE", I3:I846, "MUJER")</f>
        <v>2</v>
      </c>
      <c r="S41" s="26">
        <f t="shared" si="9"/>
        <v>4</v>
      </c>
      <c r="U41" s="26">
        <v>27</v>
      </c>
      <c r="V41" s="18">
        <f>COUNTIFS(C3:C846, "27",D3:D846,"NOVIEMBRE", I3:I846, "HOMBRE")</f>
        <v>2</v>
      </c>
      <c r="W41" s="18">
        <f>COUNTIFS(C3:C846, "27",D3:D846,"NOVIEMBRE", I3:I846, "MUJER")</f>
        <v>3</v>
      </c>
      <c r="X41" s="26">
        <f t="shared" si="10"/>
        <v>5</v>
      </c>
      <c r="Z41" s="26">
        <v>20</v>
      </c>
      <c r="AA41" s="18">
        <f>COUNTIFS(C3:C846, "20",D3:D846,"DICIEMBRE", I3:I846, "HOMBRE")</f>
        <v>0</v>
      </c>
      <c r="AB41" s="18">
        <f>COUNTIFS(C3:C846, "20",D3:D846,"DICIEMBRE", I3:I846, "MUJER")</f>
        <v>2</v>
      </c>
      <c r="AC41" s="26">
        <f t="shared" si="11"/>
        <v>2</v>
      </c>
    </row>
    <row r="42" spans="2:29" x14ac:dyDescent="0.25">
      <c r="B42" s="1" t="s">
        <v>48</v>
      </c>
      <c r="C42" s="2">
        <v>6</v>
      </c>
      <c r="D42" s="2" t="s">
        <v>856</v>
      </c>
      <c r="E42" s="3">
        <v>2017</v>
      </c>
      <c r="F42" s="2">
        <v>10</v>
      </c>
      <c r="G42" s="2" t="s">
        <v>870</v>
      </c>
      <c r="H42" s="19">
        <v>2016</v>
      </c>
      <c r="I42" s="2" t="s">
        <v>2</v>
      </c>
      <c r="P42" s="26">
        <v>24</v>
      </c>
      <c r="Q42" s="18">
        <f>COUNTIFS(C3:C846, "24",D3:D846,"OCTUBRE", I3:I846, "HOMBRE")</f>
        <v>1</v>
      </c>
      <c r="R42" s="18">
        <f>COUNTIFS(C3:C846, "24",D3:D846,"OCTUBRE", I3:I846, "MUJER")</f>
        <v>1</v>
      </c>
      <c r="S42" s="26">
        <f t="shared" si="9"/>
        <v>2</v>
      </c>
      <c r="U42" s="26">
        <v>29</v>
      </c>
      <c r="V42" s="18">
        <f>COUNTIFS(C3:C846, "29",D3:D846,"NOVIEMBRE", I3:I846, "HOMBRE")</f>
        <v>1</v>
      </c>
      <c r="W42" s="18">
        <f>COUNTIFS(C3:C846, "30",D3:D846,"NOVIEMBRE", I3:I846, "MUJER")</f>
        <v>5</v>
      </c>
      <c r="X42" s="26">
        <f t="shared" si="10"/>
        <v>6</v>
      </c>
      <c r="Z42" s="26">
        <v>21</v>
      </c>
      <c r="AA42" s="18">
        <f>COUNTIFS(C3:C846, "21",D3:D846,"DICIEMBRE", I3:I846, "HOMBRE")</f>
        <v>1</v>
      </c>
      <c r="AB42" s="18">
        <f>COUNTIFS(C3:C846, "21",D3:D846,"DICIEMBRE", I3:I846, "MUJER")</f>
        <v>2</v>
      </c>
      <c r="AC42" s="26">
        <f t="shared" si="11"/>
        <v>3</v>
      </c>
    </row>
    <row r="43" spans="2:29" x14ac:dyDescent="0.25">
      <c r="B43" s="1" t="s">
        <v>49</v>
      </c>
      <c r="C43" s="2">
        <v>6</v>
      </c>
      <c r="D43" s="2" t="s">
        <v>856</v>
      </c>
      <c r="E43" s="3">
        <v>2017</v>
      </c>
      <c r="F43" s="2">
        <v>18</v>
      </c>
      <c r="G43" s="2" t="s">
        <v>857</v>
      </c>
      <c r="H43" s="19">
        <v>2014</v>
      </c>
      <c r="I43" s="2" t="s">
        <v>2</v>
      </c>
      <c r="P43" s="26">
        <v>26</v>
      </c>
      <c r="Q43" s="18">
        <f>COUNTIFS(C3:C846, "26",D3:D846,"OCTUBRE", I3:I846, "HOMBRE")</f>
        <v>1</v>
      </c>
      <c r="R43" s="18">
        <f>COUNTIFS(C3:C846, "26",D3:D846,"OCTUBRE", I3:I846, "MUJER")</f>
        <v>3</v>
      </c>
      <c r="S43" s="26">
        <f t="shared" si="9"/>
        <v>4</v>
      </c>
      <c r="U43" s="26">
        <v>30</v>
      </c>
      <c r="V43" s="18">
        <f>COUNTIFS(C3:C846, "30",D3:D846,"NOVIEMBRE", I3:I846, "HOMBRE")</f>
        <v>2</v>
      </c>
      <c r="W43" s="18">
        <f>COUNTIFS(C3:C846, "30",D3:D846,"NOVIEMBRE", I3:I846, "MUJER")</f>
        <v>5</v>
      </c>
      <c r="X43" s="26">
        <f t="shared" si="10"/>
        <v>7</v>
      </c>
      <c r="Z43" s="26">
        <v>22</v>
      </c>
      <c r="AA43" s="18">
        <f>COUNTIFS(C3:C846, "22",D3:D846,"DICIEMBRE", I3:I846, "HOMBRE")</f>
        <v>1</v>
      </c>
      <c r="AB43" s="18">
        <f>COUNTIFS(C3:C846, "22",D3:D846,"DICIEMBRE", I3:I846, "MUJER")</f>
        <v>0</v>
      </c>
      <c r="AC43" s="26">
        <f t="shared" si="11"/>
        <v>1</v>
      </c>
    </row>
    <row r="44" spans="2:29" x14ac:dyDescent="0.25">
      <c r="B44" s="1" t="s">
        <v>50</v>
      </c>
      <c r="C44" s="2">
        <v>6</v>
      </c>
      <c r="D44" s="2" t="s">
        <v>856</v>
      </c>
      <c r="E44" s="3">
        <v>2017</v>
      </c>
      <c r="F44" s="2">
        <v>2</v>
      </c>
      <c r="G44" s="2" t="s">
        <v>856</v>
      </c>
      <c r="H44" s="19">
        <v>2017</v>
      </c>
      <c r="I44" s="2" t="s">
        <v>2</v>
      </c>
      <c r="P44" s="26">
        <v>27</v>
      </c>
      <c r="Q44" s="18">
        <f>COUNTIFS(C3:C846, "27",D3:D846,"OCTUBRE", I3:I846, "HOMBRE")</f>
        <v>1</v>
      </c>
      <c r="R44" s="18">
        <f>COUNTIFS(C3:C846, "27",D3:D846,"OCTUBRE", I3:I846, "MUJER")</f>
        <v>0</v>
      </c>
      <c r="S44" s="26">
        <f t="shared" si="9"/>
        <v>1</v>
      </c>
      <c r="U44" s="46" t="s">
        <v>871</v>
      </c>
      <c r="V44" s="46"/>
      <c r="W44" s="46"/>
      <c r="X44" s="30">
        <f>SUM(X27:X43)</f>
        <v>65</v>
      </c>
      <c r="Z44" s="26">
        <v>26</v>
      </c>
      <c r="AA44" s="18">
        <f>COUNTIFS(C3:C846, "26",D3:D846,"DICIEMBRE", I3:I846, "HOMBRE")</f>
        <v>0</v>
      </c>
      <c r="AB44" s="18">
        <f>COUNTIFS(C3:C846, "26",D3:D846,"DICIEMBRE", I3:I846, "MUJER")</f>
        <v>1</v>
      </c>
      <c r="AC44" s="26">
        <f t="shared" si="11"/>
        <v>1</v>
      </c>
    </row>
    <row r="45" spans="2:29" x14ac:dyDescent="0.25">
      <c r="B45" s="1" t="s">
        <v>51</v>
      </c>
      <c r="C45" s="2">
        <v>6</v>
      </c>
      <c r="D45" s="2" t="s">
        <v>856</v>
      </c>
      <c r="E45" s="3">
        <v>2017</v>
      </c>
      <c r="F45" s="2">
        <v>13</v>
      </c>
      <c r="G45" s="2" t="s">
        <v>857</v>
      </c>
      <c r="H45" s="19">
        <v>2016</v>
      </c>
      <c r="I45" s="2" t="s">
        <v>3</v>
      </c>
      <c r="P45" s="26">
        <v>28</v>
      </c>
      <c r="Q45" s="18">
        <f>COUNTIFS(C3:C846, "28",D3:D846,"OCTUBRE", I3:I846, "HOMBRE")</f>
        <v>6</v>
      </c>
      <c r="R45" s="18">
        <f>COUNTIFS(C3:C846, "28",D3:D846,"OCTUBRE", I3:I846, "MUJER")</f>
        <v>8</v>
      </c>
      <c r="S45" s="26">
        <f t="shared" si="9"/>
        <v>14</v>
      </c>
      <c r="Z45" s="26">
        <v>27</v>
      </c>
      <c r="AA45" s="18">
        <f>COUNTIFS(C3:C846, "27",D3:D846,"DICIEMBRE", I3:I846, "HOMBRE")</f>
        <v>0</v>
      </c>
      <c r="AB45" s="18">
        <f>COUNTIFS(C3:C846, "27",D3:D846,"DICIEMBRE", I3:I846, "MUJER")</f>
        <v>3</v>
      </c>
      <c r="AC45" s="26">
        <f t="shared" si="11"/>
        <v>3</v>
      </c>
    </row>
    <row r="46" spans="2:29" x14ac:dyDescent="0.25">
      <c r="B46" s="1" t="s">
        <v>52</v>
      </c>
      <c r="C46" s="2">
        <v>6</v>
      </c>
      <c r="D46" s="2" t="s">
        <v>856</v>
      </c>
      <c r="E46" s="3">
        <v>2017</v>
      </c>
      <c r="F46" s="2">
        <v>14</v>
      </c>
      <c r="G46" s="2" t="s">
        <v>870</v>
      </c>
      <c r="H46" s="19">
        <v>2016</v>
      </c>
      <c r="I46" s="2" t="s">
        <v>3</v>
      </c>
      <c r="P46" s="26">
        <v>30</v>
      </c>
      <c r="Q46" s="18">
        <f>COUNTIFS(C3:C846, "30",D3:D846,"OCTUBRE", I3:I846, "HOMBRE")</f>
        <v>3</v>
      </c>
      <c r="R46" s="18">
        <f>COUNTIFS(C3:C846, "30",D3:D846,"OCTUBRE", I3:I846, "MUJER")</f>
        <v>3</v>
      </c>
      <c r="S46" s="26">
        <f t="shared" si="9"/>
        <v>6</v>
      </c>
      <c r="Z46" s="26">
        <v>29</v>
      </c>
      <c r="AA46" s="18">
        <f>COUNTIFS(C3:C846, "29",D3:D846,"DICIEMBRE", I3:I846, "HOMBRE")</f>
        <v>1</v>
      </c>
      <c r="AB46" s="18">
        <f>COUNTIFS(C3:C846, "29",D3:D846,"DICIEMBRE", I3:I846, "MUJER")</f>
        <v>3</v>
      </c>
      <c r="AC46" s="26">
        <f t="shared" si="11"/>
        <v>4</v>
      </c>
    </row>
    <row r="47" spans="2:29" x14ac:dyDescent="0.25">
      <c r="B47" s="1" t="s">
        <v>53</v>
      </c>
      <c r="C47" s="2">
        <v>10</v>
      </c>
      <c r="D47" s="2" t="s">
        <v>856</v>
      </c>
      <c r="E47" s="3">
        <v>2017</v>
      </c>
      <c r="F47" s="2">
        <v>4</v>
      </c>
      <c r="G47" s="2" t="s">
        <v>864</v>
      </c>
      <c r="H47" s="19">
        <v>2012</v>
      </c>
      <c r="I47" s="2" t="s">
        <v>3</v>
      </c>
      <c r="P47" s="26">
        <v>31</v>
      </c>
      <c r="Q47" s="18">
        <f>COUNTIFS(C3:C846, "31",D3:D846,"OCTUBRE", I3:I846, "HOMBRE")</f>
        <v>0</v>
      </c>
      <c r="R47" s="18">
        <f>COUNTIFS(C3:C846, "31",D3:D846,"OCTUBRE", I3:I846, "MUJER")</f>
        <v>3</v>
      </c>
      <c r="S47" s="26">
        <f t="shared" si="9"/>
        <v>3</v>
      </c>
      <c r="Z47" s="46" t="s">
        <v>871</v>
      </c>
      <c r="AA47" s="46"/>
      <c r="AB47" s="46"/>
      <c r="AC47" s="29">
        <f>SUM(AC27:AC46)</f>
        <v>59</v>
      </c>
    </row>
    <row r="48" spans="2:29" x14ac:dyDescent="0.25">
      <c r="B48" s="1" t="s">
        <v>54</v>
      </c>
      <c r="C48" s="2">
        <v>11</v>
      </c>
      <c r="D48" s="2" t="s">
        <v>856</v>
      </c>
      <c r="E48" s="3">
        <v>2017</v>
      </c>
      <c r="F48" s="2">
        <v>17</v>
      </c>
      <c r="G48" s="2" t="s">
        <v>858</v>
      </c>
      <c r="H48" s="19">
        <v>2016</v>
      </c>
      <c r="I48" s="2" t="s">
        <v>3</v>
      </c>
      <c r="P48" s="46" t="s">
        <v>871</v>
      </c>
      <c r="Q48" s="46"/>
      <c r="R48" s="46"/>
      <c r="S48" s="29">
        <f>SUM(S25:S47)</f>
        <v>89</v>
      </c>
    </row>
    <row r="49" spans="2:9" x14ac:dyDescent="0.25">
      <c r="B49" s="1" t="s">
        <v>55</v>
      </c>
      <c r="C49" s="2">
        <v>11</v>
      </c>
      <c r="D49" s="2" t="s">
        <v>856</v>
      </c>
      <c r="E49" s="3">
        <v>2017</v>
      </c>
      <c r="F49" s="2">
        <v>10</v>
      </c>
      <c r="G49" s="2" t="s">
        <v>856</v>
      </c>
      <c r="H49" s="19">
        <v>2017</v>
      </c>
      <c r="I49" s="2" t="s">
        <v>2</v>
      </c>
    </row>
    <row r="50" spans="2:9" x14ac:dyDescent="0.25">
      <c r="B50" s="1" t="s">
        <v>56</v>
      </c>
      <c r="C50" s="2">
        <v>11</v>
      </c>
      <c r="D50" s="2" t="s">
        <v>856</v>
      </c>
      <c r="E50" s="3">
        <v>2017</v>
      </c>
      <c r="F50" s="2">
        <v>12</v>
      </c>
      <c r="G50" s="2" t="s">
        <v>870</v>
      </c>
      <c r="H50" s="19">
        <v>2016</v>
      </c>
      <c r="I50" s="2" t="s">
        <v>2</v>
      </c>
    </row>
    <row r="51" spans="2:9" x14ac:dyDescent="0.25">
      <c r="B51" s="1" t="s">
        <v>57</v>
      </c>
      <c r="C51" s="2">
        <v>11</v>
      </c>
      <c r="D51" s="2" t="s">
        <v>856</v>
      </c>
      <c r="E51" s="3">
        <v>2017</v>
      </c>
      <c r="F51" s="2">
        <v>7</v>
      </c>
      <c r="G51" s="2" t="s">
        <v>857</v>
      </c>
      <c r="H51" s="19">
        <v>2016</v>
      </c>
      <c r="I51" s="2" t="s">
        <v>2</v>
      </c>
    </row>
    <row r="52" spans="2:9" x14ac:dyDescent="0.25">
      <c r="B52" s="1" t="s">
        <v>58</v>
      </c>
      <c r="C52" s="2">
        <v>12</v>
      </c>
      <c r="D52" s="2" t="s">
        <v>856</v>
      </c>
      <c r="E52" s="3">
        <v>2017</v>
      </c>
      <c r="F52" s="2">
        <v>13</v>
      </c>
      <c r="G52" s="2" t="s">
        <v>863</v>
      </c>
      <c r="H52" s="19">
        <v>2016</v>
      </c>
      <c r="I52" s="2" t="s">
        <v>3</v>
      </c>
    </row>
    <row r="53" spans="2:9" x14ac:dyDescent="0.25">
      <c r="B53" s="1" t="s">
        <v>59</v>
      </c>
      <c r="C53" s="2">
        <v>13</v>
      </c>
      <c r="D53" s="2" t="s">
        <v>856</v>
      </c>
      <c r="E53" s="3">
        <v>2017</v>
      </c>
      <c r="F53" s="2">
        <v>29</v>
      </c>
      <c r="G53" s="2" t="s">
        <v>858</v>
      </c>
      <c r="H53" s="19">
        <v>2015</v>
      </c>
      <c r="I53" s="2" t="s">
        <v>2</v>
      </c>
    </row>
    <row r="54" spans="2:9" x14ac:dyDescent="0.25">
      <c r="B54" s="1" t="s">
        <v>60</v>
      </c>
      <c r="C54" s="2">
        <v>13</v>
      </c>
      <c r="D54" s="2" t="s">
        <v>856</v>
      </c>
      <c r="E54" s="3">
        <v>2017</v>
      </c>
      <c r="F54" s="2">
        <v>3</v>
      </c>
      <c r="G54" s="2" t="s">
        <v>856</v>
      </c>
      <c r="H54" s="19">
        <v>2017</v>
      </c>
      <c r="I54" s="2" t="s">
        <v>3</v>
      </c>
    </row>
    <row r="55" spans="2:9" x14ac:dyDescent="0.25">
      <c r="B55" s="1" t="s">
        <v>61</v>
      </c>
      <c r="C55" s="2">
        <v>13</v>
      </c>
      <c r="D55" s="2" t="s">
        <v>856</v>
      </c>
      <c r="E55" s="3">
        <v>2017</v>
      </c>
      <c r="F55" s="2">
        <v>6</v>
      </c>
      <c r="G55" s="2" t="s">
        <v>857</v>
      </c>
      <c r="H55" s="19">
        <v>2016</v>
      </c>
      <c r="I55" s="2" t="s">
        <v>2</v>
      </c>
    </row>
    <row r="56" spans="2:9" x14ac:dyDescent="0.25">
      <c r="B56" s="1" t="s">
        <v>62</v>
      </c>
      <c r="C56" s="2">
        <v>16</v>
      </c>
      <c r="D56" s="2" t="s">
        <v>856</v>
      </c>
      <c r="E56" s="3">
        <v>2017</v>
      </c>
      <c r="F56" s="2">
        <v>6</v>
      </c>
      <c r="G56" s="2" t="s">
        <v>857</v>
      </c>
      <c r="H56" s="19">
        <v>2016</v>
      </c>
      <c r="I56" s="2" t="s">
        <v>2</v>
      </c>
    </row>
    <row r="57" spans="2:9" x14ac:dyDescent="0.25">
      <c r="B57" s="1" t="s">
        <v>63</v>
      </c>
      <c r="C57" s="2">
        <v>16</v>
      </c>
      <c r="D57" s="2" t="s">
        <v>856</v>
      </c>
      <c r="E57" s="3">
        <v>2017</v>
      </c>
      <c r="F57" s="2">
        <v>28</v>
      </c>
      <c r="G57" s="2" t="s">
        <v>857</v>
      </c>
      <c r="H57" s="19">
        <v>2016</v>
      </c>
      <c r="I57" s="2" t="s">
        <v>2</v>
      </c>
    </row>
    <row r="58" spans="2:9" x14ac:dyDescent="0.25">
      <c r="B58" s="1" t="s">
        <v>64</v>
      </c>
      <c r="C58" s="2">
        <v>16</v>
      </c>
      <c r="D58" s="2" t="s">
        <v>856</v>
      </c>
      <c r="E58" s="3">
        <v>2017</v>
      </c>
      <c r="F58" s="2">
        <v>14</v>
      </c>
      <c r="G58" s="2" t="s">
        <v>866</v>
      </c>
      <c r="H58" s="19">
        <v>2014</v>
      </c>
      <c r="I58" s="2" t="s">
        <v>2</v>
      </c>
    </row>
    <row r="59" spans="2:9" x14ac:dyDescent="0.25">
      <c r="B59" s="1" t="s">
        <v>65</v>
      </c>
      <c r="C59" s="2">
        <v>17</v>
      </c>
      <c r="D59" s="2" t="s">
        <v>856</v>
      </c>
      <c r="E59" s="3">
        <v>2017</v>
      </c>
      <c r="F59" s="2">
        <v>13</v>
      </c>
      <c r="G59" s="2" t="s">
        <v>866</v>
      </c>
      <c r="H59" s="19">
        <v>2013</v>
      </c>
      <c r="I59" s="2" t="s">
        <v>3</v>
      </c>
    </row>
    <row r="60" spans="2:9" x14ac:dyDescent="0.25">
      <c r="B60" s="1" t="s">
        <v>66</v>
      </c>
      <c r="C60" s="2">
        <v>17</v>
      </c>
      <c r="D60" s="2" t="s">
        <v>856</v>
      </c>
      <c r="E60" s="3">
        <v>2017</v>
      </c>
      <c r="F60" s="2">
        <v>9</v>
      </c>
      <c r="G60" s="2" t="s">
        <v>857</v>
      </c>
      <c r="H60" s="19">
        <v>2016</v>
      </c>
      <c r="I60" s="2" t="s">
        <v>3</v>
      </c>
    </row>
    <row r="61" spans="2:9" x14ac:dyDescent="0.25">
      <c r="B61" s="1" t="s">
        <v>67</v>
      </c>
      <c r="C61" s="2">
        <v>19</v>
      </c>
      <c r="D61" s="2" t="s">
        <v>856</v>
      </c>
      <c r="E61" s="3">
        <v>2017</v>
      </c>
      <c r="F61" s="2">
        <v>8</v>
      </c>
      <c r="G61" s="2" t="s">
        <v>856</v>
      </c>
      <c r="H61" s="19">
        <v>2017</v>
      </c>
      <c r="I61" s="2" t="s">
        <v>2</v>
      </c>
    </row>
    <row r="62" spans="2:9" x14ac:dyDescent="0.25">
      <c r="B62" s="1" t="s">
        <v>68</v>
      </c>
      <c r="C62" s="2">
        <v>20</v>
      </c>
      <c r="D62" s="2" t="s">
        <v>856</v>
      </c>
      <c r="E62" s="3">
        <v>2017</v>
      </c>
      <c r="F62" s="2">
        <v>10</v>
      </c>
      <c r="G62" s="2" t="s">
        <v>866</v>
      </c>
      <c r="H62" s="19">
        <v>1938</v>
      </c>
      <c r="I62" s="2" t="s">
        <v>3</v>
      </c>
    </row>
    <row r="63" spans="2:9" x14ac:dyDescent="0.25">
      <c r="B63" s="1" t="s">
        <v>69</v>
      </c>
      <c r="C63" s="2">
        <v>20</v>
      </c>
      <c r="D63" s="2" t="s">
        <v>856</v>
      </c>
      <c r="E63" s="3">
        <v>2017</v>
      </c>
      <c r="F63" s="2">
        <v>20</v>
      </c>
      <c r="G63" s="2" t="s">
        <v>869</v>
      </c>
      <c r="H63" s="19">
        <v>2016</v>
      </c>
      <c r="I63" s="2" t="s">
        <v>2</v>
      </c>
    </row>
    <row r="64" spans="2:9" x14ac:dyDescent="0.25">
      <c r="B64" s="1" t="s">
        <v>70</v>
      </c>
      <c r="C64" s="2">
        <v>20</v>
      </c>
      <c r="D64" s="2" t="s">
        <v>856</v>
      </c>
      <c r="E64" s="3">
        <v>2017</v>
      </c>
      <c r="F64" s="2">
        <v>10</v>
      </c>
      <c r="G64" s="2" t="s">
        <v>856</v>
      </c>
      <c r="H64" s="19">
        <v>2017</v>
      </c>
      <c r="I64" s="2" t="s">
        <v>3</v>
      </c>
    </row>
    <row r="65" spans="2:9" x14ac:dyDescent="0.25">
      <c r="B65" s="1" t="s">
        <v>71</v>
      </c>
      <c r="C65" s="2">
        <v>23</v>
      </c>
      <c r="D65" s="2" t="s">
        <v>856</v>
      </c>
      <c r="E65" s="3">
        <v>2017</v>
      </c>
      <c r="F65" s="2">
        <v>14</v>
      </c>
      <c r="G65" s="2" t="s">
        <v>856</v>
      </c>
      <c r="H65" s="19">
        <v>2017</v>
      </c>
      <c r="I65" s="2" t="s">
        <v>3</v>
      </c>
    </row>
    <row r="66" spans="2:9" x14ac:dyDescent="0.25">
      <c r="B66" s="1" t="s">
        <v>72</v>
      </c>
      <c r="C66" s="2">
        <v>23</v>
      </c>
      <c r="D66" s="2" t="s">
        <v>856</v>
      </c>
      <c r="E66" s="3">
        <v>2017</v>
      </c>
      <c r="F66" s="2">
        <v>12</v>
      </c>
      <c r="G66" s="2" t="s">
        <v>869</v>
      </c>
      <c r="H66" s="19">
        <v>2016</v>
      </c>
      <c r="I66" s="2" t="s">
        <v>3</v>
      </c>
    </row>
    <row r="67" spans="2:9" x14ac:dyDescent="0.25">
      <c r="B67" s="1" t="s">
        <v>73</v>
      </c>
      <c r="C67" s="2">
        <v>24</v>
      </c>
      <c r="D67" s="2" t="s">
        <v>856</v>
      </c>
      <c r="E67" s="3">
        <v>2017</v>
      </c>
      <c r="F67" s="2">
        <v>1</v>
      </c>
      <c r="G67" s="2" t="s">
        <v>861</v>
      </c>
      <c r="H67" s="19">
        <v>1959</v>
      </c>
      <c r="I67" s="2" t="s">
        <v>2</v>
      </c>
    </row>
    <row r="68" spans="2:9" x14ac:dyDescent="0.25">
      <c r="B68" s="1" t="s">
        <v>74</v>
      </c>
      <c r="C68" s="2">
        <v>24</v>
      </c>
      <c r="D68" s="2" t="s">
        <v>856</v>
      </c>
      <c r="E68" s="3">
        <v>2017</v>
      </c>
      <c r="F68" s="2">
        <v>11</v>
      </c>
      <c r="G68" s="2" t="s">
        <v>869</v>
      </c>
      <c r="H68" s="19">
        <v>1977</v>
      </c>
      <c r="I68" s="2" t="s">
        <v>3</v>
      </c>
    </row>
    <row r="69" spans="2:9" x14ac:dyDescent="0.25">
      <c r="B69" s="1" t="s">
        <v>75</v>
      </c>
      <c r="C69" s="2">
        <v>24</v>
      </c>
      <c r="D69" s="2" t="s">
        <v>856</v>
      </c>
      <c r="E69" s="3">
        <v>2017</v>
      </c>
      <c r="F69" s="2">
        <v>7</v>
      </c>
      <c r="G69" s="2" t="s">
        <v>857</v>
      </c>
      <c r="H69" s="19">
        <v>2016</v>
      </c>
      <c r="I69" s="2" t="s">
        <v>3</v>
      </c>
    </row>
    <row r="70" spans="2:9" x14ac:dyDescent="0.25">
      <c r="B70" s="1" t="s">
        <v>76</v>
      </c>
      <c r="C70" s="2">
        <v>24</v>
      </c>
      <c r="D70" s="2" t="s">
        <v>856</v>
      </c>
      <c r="E70" s="3">
        <v>2017</v>
      </c>
      <c r="F70" s="2">
        <v>1</v>
      </c>
      <c r="G70" s="2" t="s">
        <v>870</v>
      </c>
      <c r="H70" s="19">
        <v>2015</v>
      </c>
      <c r="I70" s="2" t="s">
        <v>3</v>
      </c>
    </row>
    <row r="71" spans="2:9" x14ac:dyDescent="0.25">
      <c r="B71" s="1" t="s">
        <v>77</v>
      </c>
      <c r="C71" s="2">
        <v>25</v>
      </c>
      <c r="D71" s="2" t="s">
        <v>856</v>
      </c>
      <c r="E71" s="3">
        <v>2017</v>
      </c>
      <c r="F71" s="2">
        <v>21</v>
      </c>
      <c r="G71" s="2" t="s">
        <v>857</v>
      </c>
      <c r="H71" s="19">
        <v>2016</v>
      </c>
      <c r="I71" s="2" t="s">
        <v>3</v>
      </c>
    </row>
    <row r="72" spans="2:9" x14ac:dyDescent="0.25">
      <c r="B72" s="1" t="s">
        <v>78</v>
      </c>
      <c r="C72" s="2">
        <v>25</v>
      </c>
      <c r="D72" s="2" t="s">
        <v>856</v>
      </c>
      <c r="E72" s="3">
        <v>2017</v>
      </c>
      <c r="F72" s="2">
        <v>23</v>
      </c>
      <c r="G72" s="2" t="s">
        <v>856</v>
      </c>
      <c r="H72" s="19">
        <v>2017</v>
      </c>
      <c r="I72" s="2" t="s">
        <v>2</v>
      </c>
    </row>
    <row r="73" spans="2:9" x14ac:dyDescent="0.25">
      <c r="B73" s="1" t="s">
        <v>79</v>
      </c>
      <c r="C73" s="2">
        <v>25</v>
      </c>
      <c r="D73" s="2" t="s">
        <v>856</v>
      </c>
      <c r="E73" s="3">
        <v>2017</v>
      </c>
      <c r="F73" s="2">
        <v>24</v>
      </c>
      <c r="G73" s="2" t="s">
        <v>856</v>
      </c>
      <c r="H73" s="19">
        <v>2017</v>
      </c>
      <c r="I73" s="2" t="s">
        <v>2</v>
      </c>
    </row>
    <row r="74" spans="2:9" x14ac:dyDescent="0.25">
      <c r="B74" s="1" t="s">
        <v>80</v>
      </c>
      <c r="C74" s="2">
        <v>26</v>
      </c>
      <c r="D74" s="2" t="s">
        <v>856</v>
      </c>
      <c r="E74" s="3">
        <v>2017</v>
      </c>
      <c r="F74" s="2">
        <v>13</v>
      </c>
      <c r="G74" s="2" t="s">
        <v>857</v>
      </c>
      <c r="H74" s="19">
        <v>2012</v>
      </c>
      <c r="I74" s="2" t="s">
        <v>2</v>
      </c>
    </row>
    <row r="75" spans="2:9" x14ac:dyDescent="0.25">
      <c r="B75" s="1" t="s">
        <v>81</v>
      </c>
      <c r="C75" s="2">
        <v>26</v>
      </c>
      <c r="D75" s="2" t="s">
        <v>856</v>
      </c>
      <c r="E75" s="3">
        <v>2017</v>
      </c>
      <c r="F75" s="2">
        <v>13</v>
      </c>
      <c r="G75" s="2" t="s">
        <v>863</v>
      </c>
      <c r="H75" s="19">
        <v>2016</v>
      </c>
      <c r="I75" s="2" t="s">
        <v>3</v>
      </c>
    </row>
    <row r="76" spans="2:9" x14ac:dyDescent="0.25">
      <c r="B76" s="1" t="s">
        <v>82</v>
      </c>
      <c r="C76" s="2">
        <v>26</v>
      </c>
      <c r="D76" s="2" t="s">
        <v>856</v>
      </c>
      <c r="E76" s="3">
        <v>2017</v>
      </c>
      <c r="F76" s="2">
        <v>12</v>
      </c>
      <c r="G76" s="2" t="s">
        <v>856</v>
      </c>
      <c r="H76" s="19">
        <v>2017</v>
      </c>
      <c r="I76" s="2" t="s">
        <v>3</v>
      </c>
    </row>
    <row r="77" spans="2:9" x14ac:dyDescent="0.25">
      <c r="B77" s="1" t="s">
        <v>83</v>
      </c>
      <c r="C77" s="2">
        <v>26</v>
      </c>
      <c r="D77" s="2" t="s">
        <v>856</v>
      </c>
      <c r="E77" s="3">
        <v>2017</v>
      </c>
      <c r="F77" s="2">
        <v>24</v>
      </c>
      <c r="G77" s="2" t="s">
        <v>868</v>
      </c>
      <c r="H77" s="19">
        <v>2015</v>
      </c>
      <c r="I77" s="2" t="s">
        <v>3</v>
      </c>
    </row>
    <row r="78" spans="2:9" x14ac:dyDescent="0.25">
      <c r="B78" s="1" t="s">
        <v>84</v>
      </c>
      <c r="C78" s="2">
        <v>27</v>
      </c>
      <c r="D78" s="2" t="s">
        <v>856</v>
      </c>
      <c r="E78" s="3">
        <v>2017</v>
      </c>
      <c r="F78" s="2">
        <v>11</v>
      </c>
      <c r="G78" s="2" t="s">
        <v>856</v>
      </c>
      <c r="H78" s="19">
        <v>2017</v>
      </c>
      <c r="I78" s="2" t="s">
        <v>3</v>
      </c>
    </row>
    <row r="79" spans="2:9" x14ac:dyDescent="0.25">
      <c r="B79" s="1" t="s">
        <v>85</v>
      </c>
      <c r="C79" s="2">
        <v>27</v>
      </c>
      <c r="D79" s="2" t="s">
        <v>856</v>
      </c>
      <c r="E79" s="3">
        <v>2017</v>
      </c>
      <c r="F79" s="2">
        <v>31</v>
      </c>
      <c r="G79" s="2" t="s">
        <v>857</v>
      </c>
      <c r="H79" s="19">
        <v>2016</v>
      </c>
      <c r="I79" s="2" t="s">
        <v>2</v>
      </c>
    </row>
    <row r="80" spans="2:9" x14ac:dyDescent="0.25">
      <c r="B80" s="1" t="s">
        <v>86</v>
      </c>
      <c r="C80" s="2">
        <v>27</v>
      </c>
      <c r="D80" s="2" t="s">
        <v>856</v>
      </c>
      <c r="E80" s="3">
        <v>2017</v>
      </c>
      <c r="F80" s="2">
        <v>2</v>
      </c>
      <c r="G80" s="2" t="s">
        <v>863</v>
      </c>
      <c r="H80" s="19">
        <v>2015</v>
      </c>
      <c r="I80" s="2" t="s">
        <v>2</v>
      </c>
    </row>
    <row r="81" spans="2:9" x14ac:dyDescent="0.25">
      <c r="B81" s="1" t="s">
        <v>87</v>
      </c>
      <c r="C81" s="2">
        <v>27</v>
      </c>
      <c r="D81" s="2" t="s">
        <v>856</v>
      </c>
      <c r="E81" s="3">
        <v>2017</v>
      </c>
      <c r="F81" s="2">
        <v>28</v>
      </c>
      <c r="G81" s="2" t="s">
        <v>858</v>
      </c>
      <c r="H81" s="19">
        <v>2011</v>
      </c>
      <c r="I81" s="2" t="s">
        <v>2</v>
      </c>
    </row>
    <row r="82" spans="2:9" x14ac:dyDescent="0.25">
      <c r="B82" s="1" t="s">
        <v>88</v>
      </c>
      <c r="C82" s="2">
        <v>27</v>
      </c>
      <c r="D82" s="2" t="s">
        <v>856</v>
      </c>
      <c r="E82" s="3">
        <v>2017</v>
      </c>
      <c r="F82" s="2">
        <v>2</v>
      </c>
      <c r="G82" s="2" t="s">
        <v>858</v>
      </c>
      <c r="H82" s="19">
        <v>2016</v>
      </c>
      <c r="I82" s="2" t="s">
        <v>2</v>
      </c>
    </row>
    <row r="83" spans="2:9" x14ac:dyDescent="0.25">
      <c r="B83" s="1" t="s">
        <v>89</v>
      </c>
      <c r="C83" s="2">
        <v>30</v>
      </c>
      <c r="D83" s="2" t="s">
        <v>856</v>
      </c>
      <c r="E83" s="3">
        <v>2017</v>
      </c>
      <c r="F83" s="2">
        <v>6</v>
      </c>
      <c r="G83" s="2" t="s">
        <v>856</v>
      </c>
      <c r="H83" s="19">
        <v>2017</v>
      </c>
      <c r="I83" s="2" t="s">
        <v>3</v>
      </c>
    </row>
    <row r="84" spans="2:9" x14ac:dyDescent="0.25">
      <c r="B84" s="1" t="s">
        <v>90</v>
      </c>
      <c r="C84" s="2">
        <v>30</v>
      </c>
      <c r="D84" s="2" t="s">
        <v>856</v>
      </c>
      <c r="E84" s="3">
        <v>2017</v>
      </c>
      <c r="F84" s="2">
        <v>5</v>
      </c>
      <c r="G84" s="2" t="s">
        <v>856</v>
      </c>
      <c r="H84" s="19">
        <v>2017</v>
      </c>
      <c r="I84" s="2" t="s">
        <v>2</v>
      </c>
    </row>
    <row r="85" spans="2:9" x14ac:dyDescent="0.25">
      <c r="B85" s="1" t="s">
        <v>91</v>
      </c>
      <c r="C85" s="2">
        <v>31</v>
      </c>
      <c r="D85" s="2" t="s">
        <v>856</v>
      </c>
      <c r="E85" s="2">
        <v>2017</v>
      </c>
      <c r="F85" s="2">
        <v>17</v>
      </c>
      <c r="G85" s="2" t="s">
        <v>866</v>
      </c>
      <c r="H85" s="19">
        <v>1967</v>
      </c>
      <c r="I85" s="2" t="s">
        <v>2</v>
      </c>
    </row>
    <row r="86" spans="2:9" x14ac:dyDescent="0.25">
      <c r="B86" s="2" t="s">
        <v>92</v>
      </c>
      <c r="C86" s="2">
        <v>1</v>
      </c>
      <c r="D86" s="2" t="s">
        <v>861</v>
      </c>
      <c r="E86" s="3">
        <v>2017</v>
      </c>
      <c r="F86" s="2">
        <v>7</v>
      </c>
      <c r="G86" s="2" t="s">
        <v>864</v>
      </c>
      <c r="H86" s="21">
        <v>2017</v>
      </c>
      <c r="I86" s="3" t="s">
        <v>2</v>
      </c>
    </row>
    <row r="87" spans="2:9" x14ac:dyDescent="0.25">
      <c r="B87" s="2" t="s">
        <v>93</v>
      </c>
      <c r="C87" s="2">
        <v>7</v>
      </c>
      <c r="D87" s="2" t="s">
        <v>861</v>
      </c>
      <c r="E87" s="3">
        <v>2017</v>
      </c>
      <c r="F87" s="2">
        <v>6</v>
      </c>
      <c r="G87" s="2" t="s">
        <v>864</v>
      </c>
      <c r="H87" s="19">
        <v>2016</v>
      </c>
      <c r="I87" s="2" t="s">
        <v>2</v>
      </c>
    </row>
    <row r="88" spans="2:9" x14ac:dyDescent="0.25">
      <c r="B88" s="2" t="s">
        <v>94</v>
      </c>
      <c r="C88" s="2">
        <v>7</v>
      </c>
      <c r="D88" s="2" t="s">
        <v>861</v>
      </c>
      <c r="E88" s="3">
        <v>2017</v>
      </c>
      <c r="F88" s="2">
        <v>23</v>
      </c>
      <c r="G88" s="2" t="s">
        <v>864</v>
      </c>
      <c r="H88" s="19">
        <v>2017</v>
      </c>
      <c r="I88" s="2" t="s">
        <v>2</v>
      </c>
    </row>
    <row r="89" spans="2:9" x14ac:dyDescent="0.25">
      <c r="B89" s="2" t="s">
        <v>95</v>
      </c>
      <c r="C89" s="2">
        <v>7</v>
      </c>
      <c r="D89" s="2" t="s">
        <v>861</v>
      </c>
      <c r="E89" s="3">
        <v>2017</v>
      </c>
      <c r="F89" s="2">
        <v>17</v>
      </c>
      <c r="G89" s="2" t="s">
        <v>867</v>
      </c>
      <c r="H89" s="19">
        <v>2015</v>
      </c>
      <c r="I89" s="2" t="s">
        <v>3</v>
      </c>
    </row>
    <row r="90" spans="2:9" x14ac:dyDescent="0.25">
      <c r="B90" s="2" t="s">
        <v>96</v>
      </c>
      <c r="C90" s="2">
        <v>7</v>
      </c>
      <c r="D90" s="2" t="s">
        <v>861</v>
      </c>
      <c r="E90" s="3">
        <v>2017</v>
      </c>
      <c r="F90" s="2">
        <v>28</v>
      </c>
      <c r="G90" s="2" t="s">
        <v>856</v>
      </c>
      <c r="H90" s="19">
        <v>2017</v>
      </c>
      <c r="I90" s="2" t="s">
        <v>3</v>
      </c>
    </row>
    <row r="91" spans="2:9" x14ac:dyDescent="0.25">
      <c r="B91" s="2" t="s">
        <v>97</v>
      </c>
      <c r="C91" s="2">
        <v>7</v>
      </c>
      <c r="D91" s="2" t="s">
        <v>861</v>
      </c>
      <c r="E91" s="3">
        <v>2017</v>
      </c>
      <c r="F91" s="2">
        <v>4</v>
      </c>
      <c r="G91" s="2" t="s">
        <v>870</v>
      </c>
      <c r="H91" s="19">
        <v>1995</v>
      </c>
      <c r="I91" s="2" t="s">
        <v>2</v>
      </c>
    </row>
    <row r="92" spans="2:9" x14ac:dyDescent="0.25">
      <c r="B92" s="2" t="s">
        <v>98</v>
      </c>
      <c r="C92" s="2">
        <v>7</v>
      </c>
      <c r="D92" s="2" t="s">
        <v>861</v>
      </c>
      <c r="E92" s="3">
        <v>2017</v>
      </c>
      <c r="F92" s="2">
        <v>5</v>
      </c>
      <c r="G92" s="2" t="s">
        <v>867</v>
      </c>
      <c r="H92" s="19">
        <v>2016</v>
      </c>
      <c r="I92" s="2" t="s">
        <v>2</v>
      </c>
    </row>
    <row r="93" spans="2:9" x14ac:dyDescent="0.25">
      <c r="B93" s="2" t="s">
        <v>99</v>
      </c>
      <c r="C93" s="2">
        <v>7</v>
      </c>
      <c r="D93" s="2" t="s">
        <v>861</v>
      </c>
      <c r="E93" s="3">
        <v>2017</v>
      </c>
      <c r="F93" s="2">
        <v>10</v>
      </c>
      <c r="G93" s="2" t="s">
        <v>865</v>
      </c>
      <c r="H93" s="19">
        <v>2016</v>
      </c>
      <c r="I93" s="2" t="s">
        <v>3</v>
      </c>
    </row>
    <row r="94" spans="2:9" x14ac:dyDescent="0.25">
      <c r="B94" s="2" t="s">
        <v>100</v>
      </c>
      <c r="C94" s="2">
        <v>8</v>
      </c>
      <c r="D94" s="2" t="s">
        <v>861</v>
      </c>
      <c r="E94" s="3">
        <v>2017</v>
      </c>
      <c r="F94" s="2">
        <v>4</v>
      </c>
      <c r="G94" s="2" t="s">
        <v>856</v>
      </c>
      <c r="H94" s="19">
        <v>2017</v>
      </c>
      <c r="I94" s="2" t="s">
        <v>2</v>
      </c>
    </row>
    <row r="95" spans="2:9" x14ac:dyDescent="0.25">
      <c r="B95" s="2" t="s">
        <v>101</v>
      </c>
      <c r="C95" s="2">
        <v>8</v>
      </c>
      <c r="D95" s="2" t="s">
        <v>861</v>
      </c>
      <c r="E95" s="3">
        <v>2017</v>
      </c>
      <c r="F95" s="2">
        <v>30</v>
      </c>
      <c r="G95" s="2" t="s">
        <v>856</v>
      </c>
      <c r="H95" s="19">
        <v>2016</v>
      </c>
      <c r="I95" s="2" t="s">
        <v>2</v>
      </c>
    </row>
    <row r="96" spans="2:9" x14ac:dyDescent="0.25">
      <c r="B96" s="2" t="s">
        <v>102</v>
      </c>
      <c r="C96" s="2">
        <v>8</v>
      </c>
      <c r="D96" s="2" t="s">
        <v>861</v>
      </c>
      <c r="E96" s="3">
        <v>2017</v>
      </c>
      <c r="F96" s="2">
        <v>26</v>
      </c>
      <c r="G96" s="2" t="s">
        <v>857</v>
      </c>
      <c r="H96" s="19">
        <v>2016</v>
      </c>
      <c r="I96" s="2" t="s">
        <v>3</v>
      </c>
    </row>
    <row r="97" spans="2:9" x14ac:dyDescent="0.25">
      <c r="B97" s="2" t="s">
        <v>103</v>
      </c>
      <c r="C97" s="2">
        <v>8</v>
      </c>
      <c r="D97" s="2" t="s">
        <v>861</v>
      </c>
      <c r="E97" s="2">
        <v>2017</v>
      </c>
      <c r="F97" s="2">
        <v>13</v>
      </c>
      <c r="G97" s="2" t="s">
        <v>856</v>
      </c>
      <c r="H97" s="19">
        <v>2017</v>
      </c>
      <c r="I97" s="2" t="s">
        <v>3</v>
      </c>
    </row>
    <row r="98" spans="2:9" x14ac:dyDescent="0.25">
      <c r="B98" s="2" t="s">
        <v>104</v>
      </c>
      <c r="C98" s="2">
        <v>9</v>
      </c>
      <c r="D98" s="2" t="s">
        <v>861</v>
      </c>
      <c r="E98" s="3">
        <v>2017</v>
      </c>
      <c r="F98" s="2">
        <v>24</v>
      </c>
      <c r="G98" s="2" t="s">
        <v>870</v>
      </c>
      <c r="H98" s="19">
        <v>2016</v>
      </c>
      <c r="I98" s="2" t="s">
        <v>2</v>
      </c>
    </row>
    <row r="99" spans="2:9" x14ac:dyDescent="0.25">
      <c r="B99" s="2" t="s">
        <v>105</v>
      </c>
      <c r="C99" s="2">
        <v>9</v>
      </c>
      <c r="D99" s="2" t="s">
        <v>861</v>
      </c>
      <c r="E99" s="3">
        <v>2017</v>
      </c>
      <c r="F99" s="2">
        <v>7</v>
      </c>
      <c r="G99" s="2" t="s">
        <v>869</v>
      </c>
      <c r="H99" s="19">
        <v>2015</v>
      </c>
      <c r="I99" s="2" t="s">
        <v>3</v>
      </c>
    </row>
    <row r="100" spans="2:9" x14ac:dyDescent="0.25">
      <c r="B100" s="2" t="s">
        <v>106</v>
      </c>
      <c r="C100" s="2">
        <v>9</v>
      </c>
      <c r="D100" s="2" t="s">
        <v>861</v>
      </c>
      <c r="E100" s="3">
        <v>2017</v>
      </c>
      <c r="F100" s="2">
        <v>25</v>
      </c>
      <c r="G100" s="2" t="s">
        <v>866</v>
      </c>
      <c r="H100" s="19">
        <v>2014</v>
      </c>
      <c r="I100" s="2" t="s">
        <v>2</v>
      </c>
    </row>
    <row r="101" spans="2:9" x14ac:dyDescent="0.25">
      <c r="B101" s="2" t="s">
        <v>107</v>
      </c>
      <c r="C101" s="2">
        <v>13</v>
      </c>
      <c r="D101" s="2" t="s">
        <v>861</v>
      </c>
      <c r="E101" s="3">
        <v>2017</v>
      </c>
      <c r="F101" s="2">
        <v>3</v>
      </c>
      <c r="G101" s="2" t="s">
        <v>868</v>
      </c>
      <c r="H101" s="19">
        <v>2016</v>
      </c>
      <c r="I101" s="2" t="s">
        <v>2</v>
      </c>
    </row>
    <row r="102" spans="2:9" x14ac:dyDescent="0.25">
      <c r="B102" s="2" t="s">
        <v>108</v>
      </c>
      <c r="C102" s="2">
        <v>13</v>
      </c>
      <c r="D102" s="2" t="s">
        <v>861</v>
      </c>
      <c r="E102" s="3">
        <v>2017</v>
      </c>
      <c r="F102" s="2">
        <v>27</v>
      </c>
      <c r="G102" s="2" t="s">
        <v>864</v>
      </c>
      <c r="H102" s="19">
        <v>2014</v>
      </c>
      <c r="I102" s="2" t="s">
        <v>2</v>
      </c>
    </row>
    <row r="103" spans="2:9" x14ac:dyDescent="0.25">
      <c r="B103" s="2" t="s">
        <v>109</v>
      </c>
      <c r="C103" s="2">
        <v>15</v>
      </c>
      <c r="D103" s="2" t="s">
        <v>861</v>
      </c>
      <c r="E103" s="3">
        <v>2017</v>
      </c>
      <c r="F103" s="2">
        <v>21</v>
      </c>
      <c r="G103" s="2" t="s">
        <v>856</v>
      </c>
      <c r="H103" s="19">
        <v>2017</v>
      </c>
      <c r="I103" s="2" t="s">
        <v>3</v>
      </c>
    </row>
    <row r="104" spans="2:9" x14ac:dyDescent="0.25">
      <c r="B104" s="2" t="s">
        <v>110</v>
      </c>
      <c r="C104" s="2">
        <v>15</v>
      </c>
      <c r="D104" s="2" t="s">
        <v>861</v>
      </c>
      <c r="E104" s="3">
        <v>2017</v>
      </c>
      <c r="F104" s="2">
        <v>27</v>
      </c>
      <c r="G104" s="2" t="s">
        <v>870</v>
      </c>
      <c r="H104" s="19">
        <v>2016</v>
      </c>
      <c r="I104" s="2" t="s">
        <v>2</v>
      </c>
    </row>
    <row r="105" spans="2:9" x14ac:dyDescent="0.25">
      <c r="B105" s="2" t="s">
        <v>111</v>
      </c>
      <c r="C105" s="2">
        <v>15</v>
      </c>
      <c r="D105" s="2" t="s">
        <v>861</v>
      </c>
      <c r="E105" s="3">
        <v>2017</v>
      </c>
      <c r="F105" s="2">
        <v>10</v>
      </c>
      <c r="G105" s="2" t="s">
        <v>857</v>
      </c>
      <c r="H105" s="19">
        <v>2016</v>
      </c>
      <c r="I105" s="2" t="s">
        <v>3</v>
      </c>
    </row>
    <row r="106" spans="2:9" x14ac:dyDescent="0.25">
      <c r="B106" s="2" t="s">
        <v>112</v>
      </c>
      <c r="C106" s="2">
        <v>15</v>
      </c>
      <c r="D106" s="2" t="s">
        <v>861</v>
      </c>
      <c r="E106" s="3">
        <v>2017</v>
      </c>
      <c r="F106" s="2">
        <v>7</v>
      </c>
      <c r="G106" s="2" t="s">
        <v>856</v>
      </c>
      <c r="H106" s="19">
        <v>2016</v>
      </c>
      <c r="I106" s="2" t="s">
        <v>2</v>
      </c>
    </row>
    <row r="107" spans="2:9" x14ac:dyDescent="0.25">
      <c r="B107" s="2" t="s">
        <v>113</v>
      </c>
      <c r="C107" s="2">
        <v>15</v>
      </c>
      <c r="D107" s="2" t="s">
        <v>861</v>
      </c>
      <c r="E107" s="3">
        <v>2017</v>
      </c>
      <c r="F107" s="2">
        <v>8</v>
      </c>
      <c r="G107" s="2" t="s">
        <v>866</v>
      </c>
      <c r="H107" s="19">
        <v>1950</v>
      </c>
      <c r="I107" s="2" t="s">
        <v>3</v>
      </c>
    </row>
    <row r="108" spans="2:9" x14ac:dyDescent="0.25">
      <c r="B108" s="2" t="s">
        <v>114</v>
      </c>
      <c r="C108" s="2">
        <v>15</v>
      </c>
      <c r="D108" s="2" t="s">
        <v>861</v>
      </c>
      <c r="E108" s="3">
        <v>2017</v>
      </c>
      <c r="F108" s="2">
        <v>2</v>
      </c>
      <c r="G108" s="2" t="s">
        <v>861</v>
      </c>
      <c r="H108" s="19">
        <v>2017</v>
      </c>
      <c r="I108" s="2" t="s">
        <v>2</v>
      </c>
    </row>
    <row r="109" spans="2:9" x14ac:dyDescent="0.25">
      <c r="B109" s="2" t="s">
        <v>115</v>
      </c>
      <c r="C109" s="2">
        <v>15</v>
      </c>
      <c r="D109" s="2" t="s">
        <v>861</v>
      </c>
      <c r="E109" s="2">
        <v>2017</v>
      </c>
      <c r="F109" s="2">
        <v>22</v>
      </c>
      <c r="G109" s="2" t="s">
        <v>858</v>
      </c>
      <c r="H109" s="19">
        <v>2016</v>
      </c>
      <c r="I109" s="2" t="s">
        <v>3</v>
      </c>
    </row>
    <row r="110" spans="2:9" x14ac:dyDescent="0.25">
      <c r="B110" s="2" t="s">
        <v>116</v>
      </c>
      <c r="C110" s="2">
        <v>15</v>
      </c>
      <c r="D110" s="2" t="s">
        <v>861</v>
      </c>
      <c r="E110" s="3">
        <v>2017</v>
      </c>
      <c r="F110" s="2">
        <v>30</v>
      </c>
      <c r="G110" s="2" t="s">
        <v>856</v>
      </c>
      <c r="H110" s="19">
        <v>2015</v>
      </c>
      <c r="I110" s="2" t="s">
        <v>2</v>
      </c>
    </row>
    <row r="111" spans="2:9" x14ac:dyDescent="0.25">
      <c r="B111" s="2" t="s">
        <v>117</v>
      </c>
      <c r="C111" s="2">
        <v>15</v>
      </c>
      <c r="D111" s="2" t="s">
        <v>861</v>
      </c>
      <c r="E111" s="3">
        <v>2017</v>
      </c>
      <c r="F111" s="2">
        <v>22</v>
      </c>
      <c r="G111" s="2" t="s">
        <v>865</v>
      </c>
      <c r="H111" s="19">
        <v>2016</v>
      </c>
      <c r="I111" s="2" t="s">
        <v>3</v>
      </c>
    </row>
    <row r="112" spans="2:9" x14ac:dyDescent="0.25">
      <c r="B112" s="2" t="s">
        <v>118</v>
      </c>
      <c r="C112" s="2">
        <v>15</v>
      </c>
      <c r="D112" s="2" t="s">
        <v>861</v>
      </c>
      <c r="E112" s="3">
        <v>2017</v>
      </c>
      <c r="F112" s="2">
        <v>26</v>
      </c>
      <c r="G112" s="2" t="s">
        <v>857</v>
      </c>
      <c r="H112" s="19">
        <v>2016</v>
      </c>
      <c r="I112" s="2" t="s">
        <v>3</v>
      </c>
    </row>
    <row r="113" spans="2:9" x14ac:dyDescent="0.25">
      <c r="B113" s="2" t="s">
        <v>119</v>
      </c>
      <c r="C113" s="2">
        <v>15</v>
      </c>
      <c r="D113" s="2" t="s">
        <v>861</v>
      </c>
      <c r="E113" s="3">
        <v>2017</v>
      </c>
      <c r="F113" s="2">
        <v>8</v>
      </c>
      <c r="G113" s="2" t="s">
        <v>867</v>
      </c>
      <c r="H113" s="19">
        <v>2015</v>
      </c>
      <c r="I113" s="2" t="s">
        <v>3</v>
      </c>
    </row>
    <row r="114" spans="2:9" x14ac:dyDescent="0.25">
      <c r="B114" s="2" t="s">
        <v>120</v>
      </c>
      <c r="C114" s="2">
        <v>15</v>
      </c>
      <c r="D114" s="2" t="s">
        <v>861</v>
      </c>
      <c r="E114" s="3">
        <v>2017</v>
      </c>
      <c r="F114" s="2">
        <v>15</v>
      </c>
      <c r="G114" s="2" t="s">
        <v>861</v>
      </c>
      <c r="H114" s="19">
        <v>1953</v>
      </c>
      <c r="I114" s="2" t="s">
        <v>3</v>
      </c>
    </row>
    <row r="115" spans="2:9" x14ac:dyDescent="0.25">
      <c r="B115" s="2" t="s">
        <v>121</v>
      </c>
      <c r="C115" s="2">
        <v>15</v>
      </c>
      <c r="D115" s="2" t="s">
        <v>861</v>
      </c>
      <c r="E115" s="3">
        <v>2017</v>
      </c>
      <c r="F115" s="2">
        <v>28</v>
      </c>
      <c r="G115" s="2" t="s">
        <v>861</v>
      </c>
      <c r="H115" s="19">
        <v>1952</v>
      </c>
      <c r="I115" s="2" t="s">
        <v>2</v>
      </c>
    </row>
    <row r="116" spans="2:9" x14ac:dyDescent="0.25">
      <c r="B116" s="2" t="s">
        <v>122</v>
      </c>
      <c r="C116" s="2">
        <v>15</v>
      </c>
      <c r="D116" s="2" t="s">
        <v>861</v>
      </c>
      <c r="E116" s="3">
        <v>2017</v>
      </c>
      <c r="F116" s="2">
        <v>3</v>
      </c>
      <c r="G116" s="2" t="s">
        <v>858</v>
      </c>
      <c r="H116" s="19">
        <v>1960</v>
      </c>
      <c r="I116" s="2" t="s">
        <v>2</v>
      </c>
    </row>
    <row r="117" spans="2:9" x14ac:dyDescent="0.25">
      <c r="B117" s="2" t="s">
        <v>123</v>
      </c>
      <c r="C117" s="2">
        <v>15</v>
      </c>
      <c r="D117" s="2" t="s">
        <v>861</v>
      </c>
      <c r="E117" s="3">
        <v>2017</v>
      </c>
      <c r="F117" s="2">
        <v>30</v>
      </c>
      <c r="G117" s="2" t="s">
        <v>869</v>
      </c>
      <c r="H117" s="19">
        <v>1056</v>
      </c>
      <c r="I117" s="2" t="s">
        <v>2</v>
      </c>
    </row>
    <row r="118" spans="2:9" x14ac:dyDescent="0.25">
      <c r="B118" s="2" t="s">
        <v>124</v>
      </c>
      <c r="C118" s="2">
        <v>15</v>
      </c>
      <c r="D118" s="2" t="s">
        <v>861</v>
      </c>
      <c r="E118" s="3">
        <v>2017</v>
      </c>
      <c r="F118" s="2">
        <v>6</v>
      </c>
      <c r="G118" s="2" t="s">
        <v>864</v>
      </c>
      <c r="H118" s="19">
        <v>2016</v>
      </c>
      <c r="I118" s="2" t="s">
        <v>2</v>
      </c>
    </row>
    <row r="119" spans="2:9" x14ac:dyDescent="0.25">
      <c r="B119" s="2" t="s">
        <v>125</v>
      </c>
      <c r="C119" s="2">
        <v>15</v>
      </c>
      <c r="D119" s="2" t="s">
        <v>861</v>
      </c>
      <c r="E119" s="3">
        <v>2017</v>
      </c>
      <c r="F119" s="2">
        <v>9</v>
      </c>
      <c r="G119" s="2" t="s">
        <v>867</v>
      </c>
      <c r="H119" s="19">
        <v>1951</v>
      </c>
      <c r="I119" s="2" t="s">
        <v>3</v>
      </c>
    </row>
    <row r="120" spans="2:9" x14ac:dyDescent="0.25">
      <c r="B120" s="2" t="s">
        <v>126</v>
      </c>
      <c r="C120" s="2">
        <v>15</v>
      </c>
      <c r="D120" s="2" t="s">
        <v>861</v>
      </c>
      <c r="E120" s="3">
        <v>2017</v>
      </c>
      <c r="F120" s="2">
        <v>3</v>
      </c>
      <c r="G120" s="2" t="s">
        <v>858</v>
      </c>
      <c r="H120" s="19">
        <v>2015</v>
      </c>
      <c r="I120" s="2" t="s">
        <v>2</v>
      </c>
    </row>
    <row r="121" spans="2:9" x14ac:dyDescent="0.25">
      <c r="B121" s="2" t="s">
        <v>127</v>
      </c>
      <c r="C121" s="2">
        <v>15</v>
      </c>
      <c r="D121" s="2" t="s">
        <v>861</v>
      </c>
      <c r="E121" s="2">
        <v>2017</v>
      </c>
      <c r="F121" s="2">
        <v>27</v>
      </c>
      <c r="G121" s="2" t="s">
        <v>858</v>
      </c>
      <c r="H121" s="19">
        <v>2016</v>
      </c>
      <c r="I121" s="2" t="s">
        <v>2</v>
      </c>
    </row>
    <row r="122" spans="2:9" x14ac:dyDescent="0.25">
      <c r="B122" s="2" t="s">
        <v>128</v>
      </c>
      <c r="C122" s="2">
        <v>15</v>
      </c>
      <c r="D122" s="2" t="s">
        <v>861</v>
      </c>
      <c r="E122" s="3">
        <v>2017</v>
      </c>
      <c r="F122" s="2">
        <v>6</v>
      </c>
      <c r="G122" s="2" t="s">
        <v>867</v>
      </c>
      <c r="H122" s="19">
        <v>2016</v>
      </c>
      <c r="I122" s="2" t="s">
        <v>2</v>
      </c>
    </row>
    <row r="123" spans="2:9" x14ac:dyDescent="0.25">
      <c r="B123" s="2" t="s">
        <v>129</v>
      </c>
      <c r="C123" s="2">
        <v>15</v>
      </c>
      <c r="D123" s="2" t="s">
        <v>861</v>
      </c>
      <c r="E123" s="3">
        <v>2017</v>
      </c>
      <c r="F123" s="2">
        <v>21</v>
      </c>
      <c r="G123" s="2" t="s">
        <v>856</v>
      </c>
      <c r="H123" s="19">
        <v>2017</v>
      </c>
      <c r="I123" s="2" t="s">
        <v>2</v>
      </c>
    </row>
    <row r="124" spans="2:9" x14ac:dyDescent="0.25">
      <c r="B124" s="2" t="s">
        <v>130</v>
      </c>
      <c r="C124" s="2">
        <v>15</v>
      </c>
      <c r="D124" s="2" t="s">
        <v>861</v>
      </c>
      <c r="E124" s="3">
        <v>2017</v>
      </c>
      <c r="F124" s="2">
        <v>5</v>
      </c>
      <c r="G124" s="2" t="s">
        <v>866</v>
      </c>
      <c r="H124" s="19">
        <v>1960</v>
      </c>
      <c r="I124" s="2" t="s">
        <v>2</v>
      </c>
    </row>
    <row r="125" spans="2:9" x14ac:dyDescent="0.25">
      <c r="B125" s="2" t="s">
        <v>131</v>
      </c>
      <c r="C125" s="2">
        <v>16</v>
      </c>
      <c r="D125" s="2" t="s">
        <v>861</v>
      </c>
      <c r="E125" s="3">
        <v>2017</v>
      </c>
      <c r="F125" s="2">
        <v>1</v>
      </c>
      <c r="G125" s="2" t="s">
        <v>858</v>
      </c>
      <c r="H125" s="19">
        <v>2016</v>
      </c>
      <c r="I125" s="2" t="s">
        <v>3</v>
      </c>
    </row>
    <row r="126" spans="2:9" x14ac:dyDescent="0.25">
      <c r="B126" s="2" t="s">
        <v>132</v>
      </c>
      <c r="C126" s="2">
        <v>16</v>
      </c>
      <c r="D126" s="2" t="s">
        <v>861</v>
      </c>
      <c r="E126" s="3">
        <v>2017</v>
      </c>
      <c r="F126" s="2">
        <v>25</v>
      </c>
      <c r="G126" s="2" t="s">
        <v>864</v>
      </c>
      <c r="H126" s="19">
        <v>1977</v>
      </c>
      <c r="I126" s="2" t="s">
        <v>2</v>
      </c>
    </row>
    <row r="127" spans="2:9" x14ac:dyDescent="0.25">
      <c r="B127" s="2" t="s">
        <v>133</v>
      </c>
      <c r="C127" s="2">
        <v>16</v>
      </c>
      <c r="D127" s="2" t="s">
        <v>861</v>
      </c>
      <c r="E127" s="3">
        <v>2017</v>
      </c>
      <c r="F127" s="2">
        <v>8</v>
      </c>
      <c r="G127" s="2" t="s">
        <v>864</v>
      </c>
      <c r="H127" s="19">
        <v>2016</v>
      </c>
      <c r="I127" s="2" t="s">
        <v>2</v>
      </c>
    </row>
    <row r="128" spans="2:9" x14ac:dyDescent="0.25">
      <c r="B128" s="2" t="s">
        <v>134</v>
      </c>
      <c r="C128" s="2">
        <v>16</v>
      </c>
      <c r="D128" s="2" t="s">
        <v>861</v>
      </c>
      <c r="E128" s="3">
        <v>2017</v>
      </c>
      <c r="F128" s="2">
        <v>5</v>
      </c>
      <c r="G128" s="2" t="s">
        <v>867</v>
      </c>
      <c r="H128" s="19">
        <v>2015</v>
      </c>
      <c r="I128" s="2" t="s">
        <v>3</v>
      </c>
    </row>
    <row r="129" spans="2:9" x14ac:dyDescent="0.25">
      <c r="B129" s="2" t="s">
        <v>135</v>
      </c>
      <c r="C129" s="2">
        <v>16</v>
      </c>
      <c r="D129" s="2" t="s">
        <v>861</v>
      </c>
      <c r="E129" s="3">
        <v>2017</v>
      </c>
      <c r="F129" s="2">
        <v>4</v>
      </c>
      <c r="G129" s="2" t="s">
        <v>857</v>
      </c>
      <c r="H129" s="19">
        <v>2016</v>
      </c>
      <c r="I129" s="2" t="s">
        <v>3</v>
      </c>
    </row>
    <row r="130" spans="2:9" x14ac:dyDescent="0.25">
      <c r="B130" s="2" t="s">
        <v>136</v>
      </c>
      <c r="C130" s="2">
        <v>16</v>
      </c>
      <c r="D130" s="2" t="s">
        <v>861</v>
      </c>
      <c r="E130" s="3">
        <v>2017</v>
      </c>
      <c r="F130" s="2">
        <v>30</v>
      </c>
      <c r="G130" s="2" t="s">
        <v>863</v>
      </c>
      <c r="H130" s="19">
        <v>2014</v>
      </c>
      <c r="I130" s="2" t="s">
        <v>3</v>
      </c>
    </row>
    <row r="131" spans="2:9" x14ac:dyDescent="0.25">
      <c r="B131" s="2" t="s">
        <v>137</v>
      </c>
      <c r="C131" s="2">
        <v>16</v>
      </c>
      <c r="D131" s="2" t="s">
        <v>861</v>
      </c>
      <c r="E131" s="3">
        <v>2017</v>
      </c>
      <c r="F131" s="2">
        <v>20</v>
      </c>
      <c r="G131" s="2" t="s">
        <v>861</v>
      </c>
      <c r="H131" s="19">
        <v>2015</v>
      </c>
      <c r="I131" s="2" t="s">
        <v>3</v>
      </c>
    </row>
    <row r="132" spans="2:9" x14ac:dyDescent="0.25">
      <c r="B132" s="2" t="s">
        <v>138</v>
      </c>
      <c r="C132" s="2">
        <v>16</v>
      </c>
      <c r="D132" s="2" t="s">
        <v>861</v>
      </c>
      <c r="E132" s="3">
        <v>2017</v>
      </c>
      <c r="F132" s="2">
        <v>9</v>
      </c>
      <c r="G132" s="2" t="s">
        <v>858</v>
      </c>
      <c r="H132" s="19">
        <v>2016</v>
      </c>
      <c r="I132" s="2" t="s">
        <v>2</v>
      </c>
    </row>
    <row r="133" spans="2:9" x14ac:dyDescent="0.25">
      <c r="B133" s="2" t="s">
        <v>139</v>
      </c>
      <c r="C133" s="2">
        <v>16</v>
      </c>
      <c r="D133" s="2" t="s">
        <v>861</v>
      </c>
      <c r="E133" s="2">
        <v>2017</v>
      </c>
      <c r="F133" s="2">
        <v>30</v>
      </c>
      <c r="G133" s="2" t="s">
        <v>867</v>
      </c>
      <c r="H133" s="19">
        <v>1950</v>
      </c>
      <c r="I133" s="2" t="s">
        <v>2</v>
      </c>
    </row>
    <row r="134" spans="2:9" x14ac:dyDescent="0.25">
      <c r="B134" s="2" t="s">
        <v>140</v>
      </c>
      <c r="C134" s="2">
        <v>16</v>
      </c>
      <c r="D134" s="2" t="s">
        <v>861</v>
      </c>
      <c r="E134" s="3">
        <v>2017</v>
      </c>
      <c r="F134" s="2">
        <v>19</v>
      </c>
      <c r="G134" s="2" t="s">
        <v>857</v>
      </c>
      <c r="H134" s="19">
        <v>2015</v>
      </c>
      <c r="I134" s="2" t="s">
        <v>3</v>
      </c>
    </row>
    <row r="135" spans="2:9" x14ac:dyDescent="0.25">
      <c r="B135" s="2" t="s">
        <v>141</v>
      </c>
      <c r="C135" s="2">
        <v>16</v>
      </c>
      <c r="D135" s="2" t="s">
        <v>861</v>
      </c>
      <c r="E135" s="3">
        <v>2017</v>
      </c>
      <c r="F135" s="2">
        <v>20</v>
      </c>
      <c r="G135" s="2" t="s">
        <v>861</v>
      </c>
      <c r="H135" s="19">
        <v>2014</v>
      </c>
      <c r="I135" s="2" t="s">
        <v>2</v>
      </c>
    </row>
    <row r="136" spans="2:9" x14ac:dyDescent="0.25">
      <c r="B136" s="2" t="s">
        <v>142</v>
      </c>
      <c r="C136" s="2">
        <v>16</v>
      </c>
      <c r="D136" s="2" t="s">
        <v>861</v>
      </c>
      <c r="E136" s="3">
        <v>2017</v>
      </c>
      <c r="F136" s="2">
        <v>28</v>
      </c>
      <c r="G136" s="2" t="s">
        <v>865</v>
      </c>
      <c r="H136" s="19">
        <v>1954</v>
      </c>
      <c r="I136" s="2" t="s">
        <v>2</v>
      </c>
    </row>
    <row r="137" spans="2:9" x14ac:dyDescent="0.25">
      <c r="B137" s="2" t="s">
        <v>143</v>
      </c>
      <c r="C137" s="2">
        <v>16</v>
      </c>
      <c r="D137" s="2" t="s">
        <v>861</v>
      </c>
      <c r="E137" s="3">
        <v>2017</v>
      </c>
      <c r="F137" s="2">
        <v>31</v>
      </c>
      <c r="G137" s="2" t="s">
        <v>870</v>
      </c>
      <c r="H137" s="19">
        <v>2016</v>
      </c>
      <c r="I137" s="2" t="s">
        <v>3</v>
      </c>
    </row>
    <row r="138" spans="2:9" x14ac:dyDescent="0.25">
      <c r="B138" s="2" t="s">
        <v>144</v>
      </c>
      <c r="C138" s="2">
        <v>16</v>
      </c>
      <c r="D138" s="2" t="s">
        <v>861</v>
      </c>
      <c r="E138" s="3">
        <v>2017</v>
      </c>
      <c r="F138" s="2">
        <v>3</v>
      </c>
      <c r="G138" s="2" t="s">
        <v>867</v>
      </c>
      <c r="H138" s="19">
        <v>1970</v>
      </c>
      <c r="I138" s="2" t="s">
        <v>2</v>
      </c>
    </row>
    <row r="139" spans="2:9" x14ac:dyDescent="0.25">
      <c r="B139" s="2" t="s">
        <v>145</v>
      </c>
      <c r="C139" s="2">
        <v>16</v>
      </c>
      <c r="D139" s="2" t="s">
        <v>861</v>
      </c>
      <c r="E139" s="3">
        <v>2017</v>
      </c>
      <c r="F139" s="2">
        <v>26</v>
      </c>
      <c r="G139" s="2" t="s">
        <v>857</v>
      </c>
      <c r="H139" s="19">
        <v>1971</v>
      </c>
      <c r="I139" s="2" t="s">
        <v>2</v>
      </c>
    </row>
    <row r="140" spans="2:9" x14ac:dyDescent="0.25">
      <c r="B140" s="2" t="s">
        <v>146</v>
      </c>
      <c r="C140" s="2">
        <v>16</v>
      </c>
      <c r="D140" s="2" t="s">
        <v>861</v>
      </c>
      <c r="E140" s="3">
        <v>2017</v>
      </c>
      <c r="F140" s="2">
        <v>8</v>
      </c>
      <c r="G140" s="2" t="s">
        <v>857</v>
      </c>
      <c r="H140" s="19">
        <v>1974</v>
      </c>
      <c r="I140" s="2" t="s">
        <v>2</v>
      </c>
    </row>
    <row r="141" spans="2:9" x14ac:dyDescent="0.25">
      <c r="B141" s="2" t="s">
        <v>147</v>
      </c>
      <c r="C141" s="2">
        <v>16</v>
      </c>
      <c r="D141" s="2" t="s">
        <v>861</v>
      </c>
      <c r="E141" s="3">
        <v>2017</v>
      </c>
      <c r="F141" s="2">
        <v>9</v>
      </c>
      <c r="G141" s="2" t="s">
        <v>864</v>
      </c>
      <c r="H141" s="19">
        <v>2016</v>
      </c>
      <c r="I141" s="2" t="s">
        <v>2</v>
      </c>
    </row>
    <row r="142" spans="2:9" x14ac:dyDescent="0.25">
      <c r="B142" s="2" t="s">
        <v>148</v>
      </c>
      <c r="C142" s="2">
        <v>16</v>
      </c>
      <c r="D142" s="2" t="s">
        <v>861</v>
      </c>
      <c r="E142" s="3">
        <v>2017</v>
      </c>
      <c r="F142" s="2">
        <v>24</v>
      </c>
      <c r="G142" s="2" t="s">
        <v>863</v>
      </c>
      <c r="H142" s="19">
        <v>2016</v>
      </c>
      <c r="I142" s="2" t="s">
        <v>2</v>
      </c>
    </row>
    <row r="143" spans="2:9" x14ac:dyDescent="0.25">
      <c r="B143" s="2" t="s">
        <v>149</v>
      </c>
      <c r="C143" s="2">
        <v>16</v>
      </c>
      <c r="D143" s="2" t="s">
        <v>861</v>
      </c>
      <c r="E143" s="3">
        <v>2017</v>
      </c>
      <c r="F143" s="2">
        <v>16</v>
      </c>
      <c r="G143" s="2" t="s">
        <v>870</v>
      </c>
      <c r="H143" s="19">
        <v>1979</v>
      </c>
      <c r="I143" s="2" t="s">
        <v>2</v>
      </c>
    </row>
    <row r="144" spans="2:9" x14ac:dyDescent="0.25">
      <c r="B144" s="2" t="s">
        <v>150</v>
      </c>
      <c r="C144" s="2">
        <v>16</v>
      </c>
      <c r="D144" s="2" t="s">
        <v>861</v>
      </c>
      <c r="E144" s="3">
        <v>2017</v>
      </c>
      <c r="F144" s="2">
        <v>26</v>
      </c>
      <c r="G144" s="2" t="s">
        <v>866</v>
      </c>
      <c r="H144" s="19">
        <v>1950</v>
      </c>
      <c r="I144" s="2" t="s">
        <v>3</v>
      </c>
    </row>
    <row r="145" spans="2:9" x14ac:dyDescent="0.25">
      <c r="B145" s="2" t="s">
        <v>151</v>
      </c>
      <c r="C145" s="2">
        <v>16</v>
      </c>
      <c r="D145" s="2" t="s">
        <v>861</v>
      </c>
      <c r="E145" s="2">
        <v>2017</v>
      </c>
      <c r="F145" s="2">
        <v>20</v>
      </c>
      <c r="G145" s="2" t="s">
        <v>865</v>
      </c>
      <c r="H145" s="19">
        <v>2016</v>
      </c>
      <c r="I145" s="2" t="s">
        <v>2</v>
      </c>
    </row>
    <row r="146" spans="2:9" x14ac:dyDescent="0.25">
      <c r="B146" s="2" t="s">
        <v>152</v>
      </c>
      <c r="C146" s="2">
        <v>16</v>
      </c>
      <c r="D146" s="2" t="s">
        <v>861</v>
      </c>
      <c r="E146" s="3">
        <v>2017</v>
      </c>
      <c r="F146" s="2">
        <v>26</v>
      </c>
      <c r="G146" s="2" t="s">
        <v>865</v>
      </c>
      <c r="H146" s="19">
        <v>2013</v>
      </c>
      <c r="I146" s="2" t="s">
        <v>2</v>
      </c>
    </row>
    <row r="147" spans="2:9" x14ac:dyDescent="0.25">
      <c r="B147" s="2" t="s">
        <v>153</v>
      </c>
      <c r="C147" s="2">
        <v>16</v>
      </c>
      <c r="D147" s="2" t="s">
        <v>861</v>
      </c>
      <c r="E147" s="3">
        <v>2017</v>
      </c>
      <c r="F147" s="2">
        <v>13</v>
      </c>
      <c r="G147" s="2" t="s">
        <v>866</v>
      </c>
      <c r="H147" s="19">
        <v>2012</v>
      </c>
      <c r="I147" s="2" t="s">
        <v>2</v>
      </c>
    </row>
    <row r="148" spans="2:9" x14ac:dyDescent="0.25">
      <c r="B148" s="2" t="s">
        <v>154</v>
      </c>
      <c r="C148" s="2">
        <v>17</v>
      </c>
      <c r="D148" s="2" t="s">
        <v>861</v>
      </c>
      <c r="E148" s="3">
        <v>2017</v>
      </c>
      <c r="F148" s="2">
        <v>4</v>
      </c>
      <c r="G148" s="2" t="s">
        <v>868</v>
      </c>
      <c r="H148" s="19">
        <v>2007</v>
      </c>
      <c r="I148" s="2" t="s">
        <v>2</v>
      </c>
    </row>
    <row r="149" spans="2:9" x14ac:dyDescent="0.25">
      <c r="B149" s="2" t="s">
        <v>155</v>
      </c>
      <c r="C149" s="2">
        <v>17</v>
      </c>
      <c r="D149" s="2" t="s">
        <v>861</v>
      </c>
      <c r="E149" s="3">
        <v>2017</v>
      </c>
      <c r="F149" s="2">
        <v>13</v>
      </c>
      <c r="G149" s="2" t="s">
        <v>861</v>
      </c>
      <c r="H149" s="19">
        <v>2017</v>
      </c>
      <c r="I149" s="2" t="s">
        <v>3</v>
      </c>
    </row>
    <row r="150" spans="2:9" x14ac:dyDescent="0.25">
      <c r="B150" s="2" t="s">
        <v>156</v>
      </c>
      <c r="C150" s="2">
        <v>20</v>
      </c>
      <c r="D150" s="2" t="s">
        <v>861</v>
      </c>
      <c r="E150" s="3">
        <v>2017</v>
      </c>
      <c r="F150" s="2">
        <v>21</v>
      </c>
      <c r="G150" s="2" t="s">
        <v>858</v>
      </c>
      <c r="H150" s="19">
        <v>2008</v>
      </c>
      <c r="I150" s="2" t="s">
        <v>2</v>
      </c>
    </row>
    <row r="151" spans="2:9" x14ac:dyDescent="0.25">
      <c r="B151" s="2" t="s">
        <v>157</v>
      </c>
      <c r="C151" s="2">
        <v>20</v>
      </c>
      <c r="D151" s="2" t="s">
        <v>861</v>
      </c>
      <c r="E151" s="3">
        <v>2017</v>
      </c>
      <c r="F151" s="2">
        <v>11</v>
      </c>
      <c r="G151" s="2" t="s">
        <v>861</v>
      </c>
      <c r="H151" s="19">
        <v>1974</v>
      </c>
      <c r="I151" s="2" t="s">
        <v>3</v>
      </c>
    </row>
    <row r="152" spans="2:9" x14ac:dyDescent="0.25">
      <c r="B152" s="2" t="s">
        <v>158</v>
      </c>
      <c r="C152" s="2">
        <v>23</v>
      </c>
      <c r="D152" s="2" t="s">
        <v>861</v>
      </c>
      <c r="E152" s="3">
        <v>2017</v>
      </c>
      <c r="F152" s="2">
        <v>7</v>
      </c>
      <c r="G152" s="2" t="s">
        <v>858</v>
      </c>
      <c r="H152" s="19">
        <v>2014</v>
      </c>
      <c r="I152" s="2" t="s">
        <v>3</v>
      </c>
    </row>
    <row r="153" spans="2:9" x14ac:dyDescent="0.25">
      <c r="B153" s="2" t="s">
        <v>159</v>
      </c>
      <c r="C153" s="2">
        <v>23</v>
      </c>
      <c r="D153" s="2" t="s">
        <v>861</v>
      </c>
      <c r="E153" s="3">
        <v>2017</v>
      </c>
      <c r="F153" s="2">
        <v>26</v>
      </c>
      <c r="G153" s="2" t="s">
        <v>856</v>
      </c>
      <c r="H153" s="19">
        <v>2017</v>
      </c>
      <c r="I153" s="2" t="s">
        <v>3</v>
      </c>
    </row>
    <row r="154" spans="2:9" x14ac:dyDescent="0.25">
      <c r="B154" s="2" t="s">
        <v>160</v>
      </c>
      <c r="C154" s="2">
        <v>24</v>
      </c>
      <c r="D154" s="2" t="s">
        <v>861</v>
      </c>
      <c r="E154" s="3">
        <v>2017</v>
      </c>
      <c r="F154" s="2">
        <v>29</v>
      </c>
      <c r="G154" s="2" t="s">
        <v>863</v>
      </c>
      <c r="H154" s="19">
        <v>2016</v>
      </c>
      <c r="I154" s="2" t="s">
        <v>3</v>
      </c>
    </row>
    <row r="155" spans="2:9" x14ac:dyDescent="0.25">
      <c r="B155" s="2" t="s">
        <v>161</v>
      </c>
      <c r="C155" s="2">
        <v>24</v>
      </c>
      <c r="D155" s="2" t="s">
        <v>861</v>
      </c>
      <c r="E155" s="3">
        <v>2017</v>
      </c>
      <c r="F155" s="2">
        <v>22</v>
      </c>
      <c r="G155" s="2" t="s">
        <v>856</v>
      </c>
      <c r="H155" s="19">
        <v>2017</v>
      </c>
      <c r="I155" s="2" t="s">
        <v>3</v>
      </c>
    </row>
    <row r="156" spans="2:9" x14ac:dyDescent="0.25">
      <c r="B156" s="2" t="s">
        <v>162</v>
      </c>
      <c r="C156" s="2">
        <v>28</v>
      </c>
      <c r="D156" s="2" t="s">
        <v>861</v>
      </c>
      <c r="E156" s="3">
        <v>2017</v>
      </c>
      <c r="F156" s="2">
        <v>19</v>
      </c>
      <c r="G156" s="2" t="s">
        <v>861</v>
      </c>
      <c r="H156" s="19">
        <v>2017</v>
      </c>
      <c r="I156" s="2" t="s">
        <v>2</v>
      </c>
    </row>
    <row r="157" spans="2:9" x14ac:dyDescent="0.25">
      <c r="B157" s="2" t="s">
        <v>163</v>
      </c>
      <c r="C157" s="2">
        <v>28</v>
      </c>
      <c r="D157" s="2" t="s">
        <v>861</v>
      </c>
      <c r="E157" s="2">
        <v>2017</v>
      </c>
      <c r="F157" s="2">
        <v>31</v>
      </c>
      <c r="G157" s="2" t="s">
        <v>856</v>
      </c>
      <c r="H157" s="19">
        <v>2017</v>
      </c>
      <c r="I157" s="2" t="s">
        <v>2</v>
      </c>
    </row>
    <row r="158" spans="2:9" x14ac:dyDescent="0.25">
      <c r="B158" s="2" t="s">
        <v>164</v>
      </c>
      <c r="C158" s="2">
        <v>28</v>
      </c>
      <c r="D158" s="2" t="s">
        <v>861</v>
      </c>
      <c r="E158" s="2">
        <v>2017</v>
      </c>
      <c r="F158" s="2">
        <v>5</v>
      </c>
      <c r="G158" s="2" t="s">
        <v>856</v>
      </c>
      <c r="H158" s="19">
        <v>2017</v>
      </c>
      <c r="I158" s="2" t="s">
        <v>2</v>
      </c>
    </row>
    <row r="159" spans="2:9" x14ac:dyDescent="0.25">
      <c r="B159" s="2" t="s">
        <v>165</v>
      </c>
      <c r="C159" s="3">
        <v>1</v>
      </c>
      <c r="D159" s="2" t="s">
        <v>867</v>
      </c>
      <c r="E159" s="3">
        <v>2017</v>
      </c>
      <c r="F159" s="2">
        <v>18</v>
      </c>
      <c r="G159" s="2" t="s">
        <v>858</v>
      </c>
      <c r="H159" s="21">
        <v>2016</v>
      </c>
      <c r="I159" s="3" t="s">
        <v>3</v>
      </c>
    </row>
    <row r="160" spans="2:9" x14ac:dyDescent="0.25">
      <c r="B160" s="2" t="s">
        <v>166</v>
      </c>
      <c r="C160" s="3">
        <v>2</v>
      </c>
      <c r="D160" s="2" t="s">
        <v>867</v>
      </c>
      <c r="E160" s="3">
        <v>2017</v>
      </c>
      <c r="F160" s="2">
        <v>24</v>
      </c>
      <c r="G160" s="3" t="s">
        <v>856</v>
      </c>
      <c r="H160" s="19">
        <v>2017</v>
      </c>
      <c r="I160" s="2" t="s">
        <v>2</v>
      </c>
    </row>
    <row r="161" spans="2:9" x14ac:dyDescent="0.25">
      <c r="B161" s="2" t="s">
        <v>167</v>
      </c>
      <c r="C161" s="3">
        <v>3</v>
      </c>
      <c r="D161" s="2" t="s">
        <v>867</v>
      </c>
      <c r="E161" s="3">
        <v>2017</v>
      </c>
      <c r="F161" s="2">
        <v>14</v>
      </c>
      <c r="G161" s="3" t="s">
        <v>861</v>
      </c>
      <c r="H161" s="19">
        <v>2017</v>
      </c>
      <c r="I161" s="2" t="s">
        <v>2</v>
      </c>
    </row>
    <row r="162" spans="2:9" x14ac:dyDescent="0.25">
      <c r="B162" s="2" t="s">
        <v>168</v>
      </c>
      <c r="C162" s="3">
        <v>3</v>
      </c>
      <c r="D162" s="2" t="s">
        <v>867</v>
      </c>
      <c r="E162" s="3">
        <v>2017</v>
      </c>
      <c r="F162" s="2">
        <v>8</v>
      </c>
      <c r="G162" s="3" t="s">
        <v>869</v>
      </c>
      <c r="H162" s="19">
        <v>2012</v>
      </c>
      <c r="I162" s="2" t="s">
        <v>2</v>
      </c>
    </row>
    <row r="163" spans="2:9" x14ac:dyDescent="0.25">
      <c r="B163" s="2" t="s">
        <v>169</v>
      </c>
      <c r="C163" s="3">
        <v>6</v>
      </c>
      <c r="D163" s="2" t="s">
        <v>867</v>
      </c>
      <c r="E163" s="3">
        <v>2017</v>
      </c>
      <c r="F163" s="2">
        <v>27</v>
      </c>
      <c r="G163" s="3" t="s">
        <v>856</v>
      </c>
      <c r="H163" s="19">
        <v>2017</v>
      </c>
      <c r="I163" s="2" t="s">
        <v>3</v>
      </c>
    </row>
    <row r="164" spans="2:9" x14ac:dyDescent="0.25">
      <c r="B164" s="2" t="s">
        <v>170</v>
      </c>
      <c r="C164" s="3">
        <v>6</v>
      </c>
      <c r="D164" s="2" t="s">
        <v>867</v>
      </c>
      <c r="E164" s="3">
        <v>2017</v>
      </c>
      <c r="F164" s="2">
        <v>29</v>
      </c>
      <c r="G164" s="3" t="s">
        <v>857</v>
      </c>
      <c r="H164" s="19">
        <v>2012</v>
      </c>
      <c r="I164" s="2" t="s">
        <v>3</v>
      </c>
    </row>
    <row r="165" spans="2:9" x14ac:dyDescent="0.25">
      <c r="B165" s="2" t="s">
        <v>171</v>
      </c>
      <c r="C165" s="3">
        <v>6</v>
      </c>
      <c r="D165" s="2" t="s">
        <v>867</v>
      </c>
      <c r="E165" s="3">
        <v>2017</v>
      </c>
      <c r="F165" s="2">
        <v>2</v>
      </c>
      <c r="G165" s="3" t="s">
        <v>861</v>
      </c>
      <c r="H165" s="19">
        <v>2017</v>
      </c>
      <c r="I165" s="2" t="s">
        <v>3</v>
      </c>
    </row>
    <row r="166" spans="2:9" x14ac:dyDescent="0.25">
      <c r="B166" s="2" t="s">
        <v>172</v>
      </c>
      <c r="C166" s="3">
        <v>7</v>
      </c>
      <c r="D166" s="2" t="s">
        <v>867</v>
      </c>
      <c r="E166" s="3">
        <v>2017</v>
      </c>
      <c r="F166" s="2">
        <v>30</v>
      </c>
      <c r="G166" s="3" t="s">
        <v>863</v>
      </c>
      <c r="H166" s="19">
        <v>2012</v>
      </c>
      <c r="I166" s="2" t="s">
        <v>2</v>
      </c>
    </row>
    <row r="167" spans="2:9" x14ac:dyDescent="0.25">
      <c r="B167" s="2" t="s">
        <v>173</v>
      </c>
      <c r="C167" s="3">
        <v>7</v>
      </c>
      <c r="D167" s="2" t="s">
        <v>867</v>
      </c>
      <c r="E167" s="3">
        <v>2017</v>
      </c>
      <c r="F167" s="2">
        <v>14</v>
      </c>
      <c r="G167" s="3" t="s">
        <v>865</v>
      </c>
      <c r="H167" s="19">
        <v>1967</v>
      </c>
      <c r="I167" s="2" t="s">
        <v>2</v>
      </c>
    </row>
    <row r="168" spans="2:9" x14ac:dyDescent="0.25">
      <c r="B168" s="2" t="s">
        <v>174</v>
      </c>
      <c r="C168" s="3">
        <v>7</v>
      </c>
      <c r="D168" s="2" t="s">
        <v>867</v>
      </c>
      <c r="E168" s="3">
        <v>2017</v>
      </c>
      <c r="F168" s="2">
        <v>11</v>
      </c>
      <c r="G168" s="3" t="s">
        <v>870</v>
      </c>
      <c r="H168" s="19">
        <v>2002</v>
      </c>
      <c r="I168" s="2" t="s">
        <v>3</v>
      </c>
    </row>
    <row r="169" spans="2:9" x14ac:dyDescent="0.25">
      <c r="B169" s="2" t="s">
        <v>175</v>
      </c>
      <c r="C169" s="3">
        <v>7</v>
      </c>
      <c r="D169" s="2" t="s">
        <v>867</v>
      </c>
      <c r="E169" s="3">
        <v>2017</v>
      </c>
      <c r="F169" s="2">
        <v>21</v>
      </c>
      <c r="G169" s="3" t="s">
        <v>857</v>
      </c>
      <c r="H169" s="19">
        <v>2016</v>
      </c>
      <c r="I169" s="2" t="s">
        <v>3</v>
      </c>
    </row>
    <row r="170" spans="2:9" x14ac:dyDescent="0.25">
      <c r="B170" s="2" t="s">
        <v>176</v>
      </c>
      <c r="C170" s="3">
        <v>8</v>
      </c>
      <c r="D170" s="2" t="s">
        <v>867</v>
      </c>
      <c r="E170" s="2">
        <v>2017</v>
      </c>
      <c r="F170" s="2">
        <v>2</v>
      </c>
      <c r="G170" s="3" t="s">
        <v>867</v>
      </c>
      <c r="H170" s="19">
        <v>2017</v>
      </c>
      <c r="I170" s="2" t="s">
        <v>2</v>
      </c>
    </row>
    <row r="171" spans="2:9" x14ac:dyDescent="0.25">
      <c r="B171" s="2" t="s">
        <v>177</v>
      </c>
      <c r="C171" s="3">
        <v>8</v>
      </c>
      <c r="D171" s="2" t="s">
        <v>867</v>
      </c>
      <c r="E171" s="2">
        <v>2017</v>
      </c>
      <c r="F171" s="2">
        <v>13</v>
      </c>
      <c r="G171" s="3" t="s">
        <v>856</v>
      </c>
      <c r="H171" s="19">
        <v>2017</v>
      </c>
      <c r="I171" s="2" t="s">
        <v>3</v>
      </c>
    </row>
    <row r="172" spans="2:9" x14ac:dyDescent="0.25">
      <c r="B172" s="2" t="s">
        <v>178</v>
      </c>
      <c r="C172" s="3">
        <v>8</v>
      </c>
      <c r="D172" s="2" t="s">
        <v>867</v>
      </c>
      <c r="E172" s="3">
        <v>2017</v>
      </c>
      <c r="F172" s="2">
        <v>27</v>
      </c>
      <c r="G172" s="3" t="s">
        <v>856</v>
      </c>
      <c r="H172" s="19">
        <v>2017</v>
      </c>
      <c r="I172" s="2" t="s">
        <v>2</v>
      </c>
    </row>
    <row r="173" spans="2:9" x14ac:dyDescent="0.25">
      <c r="B173" s="2" t="s">
        <v>179</v>
      </c>
      <c r="C173" s="3">
        <v>10</v>
      </c>
      <c r="D173" s="2" t="s">
        <v>867</v>
      </c>
      <c r="E173" s="3">
        <v>2017</v>
      </c>
      <c r="F173" s="2">
        <v>14</v>
      </c>
      <c r="G173" s="3" t="s">
        <v>861</v>
      </c>
      <c r="H173" s="19">
        <v>2017</v>
      </c>
      <c r="I173" s="2" t="s">
        <v>2</v>
      </c>
    </row>
    <row r="174" spans="2:9" x14ac:dyDescent="0.25">
      <c r="B174" s="2" t="s">
        <v>180</v>
      </c>
      <c r="C174" s="3">
        <v>10</v>
      </c>
      <c r="D174" s="2" t="s">
        <v>867</v>
      </c>
      <c r="E174" s="3">
        <v>2017</v>
      </c>
      <c r="F174" s="2">
        <v>15</v>
      </c>
      <c r="G174" s="3" t="s">
        <v>856</v>
      </c>
      <c r="H174" s="19">
        <v>1990</v>
      </c>
      <c r="I174" s="2" t="s">
        <v>2</v>
      </c>
    </row>
    <row r="175" spans="2:9" x14ac:dyDescent="0.25">
      <c r="B175" s="2" t="s">
        <v>181</v>
      </c>
      <c r="C175" s="3">
        <v>14</v>
      </c>
      <c r="D175" s="2" t="s">
        <v>867</v>
      </c>
      <c r="E175" s="3">
        <v>2017</v>
      </c>
      <c r="F175" s="2">
        <v>21</v>
      </c>
      <c r="G175" s="3" t="s">
        <v>863</v>
      </c>
      <c r="H175" s="19">
        <v>2017</v>
      </c>
      <c r="I175" s="2" t="s">
        <v>2</v>
      </c>
    </row>
    <row r="176" spans="2:9" x14ac:dyDescent="0.25">
      <c r="B176" s="2" t="s">
        <v>182</v>
      </c>
      <c r="C176" s="3">
        <v>14</v>
      </c>
      <c r="D176" s="2" t="s">
        <v>867</v>
      </c>
      <c r="E176" s="3">
        <v>2017</v>
      </c>
      <c r="F176" s="2">
        <v>10</v>
      </c>
      <c r="G176" s="3" t="s">
        <v>867</v>
      </c>
      <c r="H176" s="19">
        <v>2017</v>
      </c>
      <c r="I176" s="2" t="s">
        <v>2</v>
      </c>
    </row>
    <row r="177" spans="2:9" x14ac:dyDescent="0.25">
      <c r="B177" s="2" t="s">
        <v>183</v>
      </c>
      <c r="C177" s="3">
        <v>15</v>
      </c>
      <c r="D177" s="2" t="s">
        <v>867</v>
      </c>
      <c r="E177" s="3">
        <v>2017</v>
      </c>
      <c r="F177" s="2">
        <v>12</v>
      </c>
      <c r="G177" s="3" t="s">
        <v>867</v>
      </c>
      <c r="H177" s="19">
        <v>2017</v>
      </c>
      <c r="I177" s="2" t="s">
        <v>3</v>
      </c>
    </row>
    <row r="178" spans="2:9" x14ac:dyDescent="0.25">
      <c r="B178" s="2" t="s">
        <v>184</v>
      </c>
      <c r="C178" s="3">
        <v>15</v>
      </c>
      <c r="D178" s="2" t="s">
        <v>867</v>
      </c>
      <c r="E178" s="3">
        <v>2017</v>
      </c>
      <c r="F178" s="2">
        <v>15</v>
      </c>
      <c r="G178" s="3" t="s">
        <v>867</v>
      </c>
      <c r="H178" s="19">
        <v>2015</v>
      </c>
      <c r="I178" s="2" t="s">
        <v>3</v>
      </c>
    </row>
    <row r="179" spans="2:9" x14ac:dyDescent="0.25">
      <c r="B179" s="2" t="s">
        <v>185</v>
      </c>
      <c r="C179" s="3">
        <v>15</v>
      </c>
      <c r="D179" s="2" t="s">
        <v>867</v>
      </c>
      <c r="E179" s="3">
        <v>2017</v>
      </c>
      <c r="F179" s="2">
        <v>21</v>
      </c>
      <c r="G179" s="3" t="s">
        <v>864</v>
      </c>
      <c r="H179" s="19">
        <v>1997</v>
      </c>
      <c r="I179" s="2" t="s">
        <v>2</v>
      </c>
    </row>
    <row r="180" spans="2:9" x14ac:dyDescent="0.25">
      <c r="B180" s="2" t="s">
        <v>186</v>
      </c>
      <c r="C180" s="3">
        <v>15</v>
      </c>
      <c r="D180" s="2" t="s">
        <v>867</v>
      </c>
      <c r="E180" s="3">
        <v>2017</v>
      </c>
      <c r="F180" s="2">
        <v>1</v>
      </c>
      <c r="G180" s="3" t="s">
        <v>869</v>
      </c>
      <c r="H180" s="19">
        <v>2005</v>
      </c>
      <c r="I180" s="2" t="s">
        <v>3</v>
      </c>
    </row>
    <row r="181" spans="2:9" x14ac:dyDescent="0.25">
      <c r="B181" s="2" t="s">
        <v>187</v>
      </c>
      <c r="C181" s="3">
        <v>15</v>
      </c>
      <c r="D181" s="2" t="s">
        <v>867</v>
      </c>
      <c r="E181" s="3">
        <v>2017</v>
      </c>
      <c r="F181" s="2">
        <v>11</v>
      </c>
      <c r="G181" s="3" t="s">
        <v>858</v>
      </c>
      <c r="H181" s="19">
        <v>2008</v>
      </c>
      <c r="I181" s="2" t="s">
        <v>2</v>
      </c>
    </row>
    <row r="182" spans="2:9" x14ac:dyDescent="0.25">
      <c r="B182" s="2" t="s">
        <v>188</v>
      </c>
      <c r="C182" s="3">
        <v>15</v>
      </c>
      <c r="D182" s="2" t="s">
        <v>867</v>
      </c>
      <c r="E182" s="3">
        <v>2017</v>
      </c>
      <c r="F182" s="2">
        <v>29</v>
      </c>
      <c r="G182" s="3" t="s">
        <v>863</v>
      </c>
      <c r="H182" s="21">
        <v>2010</v>
      </c>
      <c r="I182" s="3" t="s">
        <v>3</v>
      </c>
    </row>
    <row r="183" spans="2:9" x14ac:dyDescent="0.25">
      <c r="B183" s="2" t="s">
        <v>189</v>
      </c>
      <c r="C183" s="3">
        <v>15</v>
      </c>
      <c r="D183" s="2" t="s">
        <v>867</v>
      </c>
      <c r="E183" s="2">
        <v>2017</v>
      </c>
      <c r="F183" s="2">
        <v>10</v>
      </c>
      <c r="G183" s="3" t="s">
        <v>857</v>
      </c>
      <c r="H183" s="21">
        <v>2016</v>
      </c>
      <c r="I183" s="3" t="s">
        <v>2</v>
      </c>
    </row>
    <row r="184" spans="2:9" x14ac:dyDescent="0.25">
      <c r="B184" s="2" t="s">
        <v>190</v>
      </c>
      <c r="C184" s="3">
        <v>16</v>
      </c>
      <c r="D184" s="2" t="s">
        <v>867</v>
      </c>
      <c r="E184" s="2">
        <v>2017</v>
      </c>
      <c r="F184" s="2">
        <v>23</v>
      </c>
      <c r="G184" s="3" t="s">
        <v>863</v>
      </c>
      <c r="H184" s="21">
        <v>1954</v>
      </c>
      <c r="I184" s="3" t="s">
        <v>3</v>
      </c>
    </row>
    <row r="185" spans="2:9" x14ac:dyDescent="0.25">
      <c r="B185" s="2" t="s">
        <v>191</v>
      </c>
      <c r="C185" s="3">
        <v>16</v>
      </c>
      <c r="D185" s="2" t="s">
        <v>867</v>
      </c>
      <c r="E185" s="3">
        <v>2017</v>
      </c>
      <c r="F185" s="2">
        <v>3</v>
      </c>
      <c r="G185" s="3" t="s">
        <v>857</v>
      </c>
      <c r="H185" s="21">
        <v>1957</v>
      </c>
      <c r="I185" s="3" t="s">
        <v>3</v>
      </c>
    </row>
    <row r="186" spans="2:9" x14ac:dyDescent="0.25">
      <c r="B186" s="2" t="s">
        <v>192</v>
      </c>
      <c r="C186" s="3">
        <v>16</v>
      </c>
      <c r="D186" s="2" t="s">
        <v>867</v>
      </c>
      <c r="E186" s="3">
        <v>2017</v>
      </c>
      <c r="F186" s="2">
        <v>17</v>
      </c>
      <c r="G186" s="3" t="s">
        <v>857</v>
      </c>
      <c r="H186" s="21">
        <v>2016</v>
      </c>
      <c r="I186" s="3" t="s">
        <v>3</v>
      </c>
    </row>
    <row r="187" spans="2:9" x14ac:dyDescent="0.25">
      <c r="B187" s="2" t="s">
        <v>193</v>
      </c>
      <c r="C187" s="3">
        <v>16</v>
      </c>
      <c r="D187" s="2" t="s">
        <v>867</v>
      </c>
      <c r="E187" s="3">
        <v>2017</v>
      </c>
      <c r="F187" s="2">
        <v>25</v>
      </c>
      <c r="G187" s="3" t="s">
        <v>858</v>
      </c>
      <c r="H187" s="21">
        <v>2016</v>
      </c>
      <c r="I187" s="3" t="s">
        <v>3</v>
      </c>
    </row>
    <row r="188" spans="2:9" x14ac:dyDescent="0.25">
      <c r="B188" s="2" t="s">
        <v>194</v>
      </c>
      <c r="C188" s="3">
        <v>16</v>
      </c>
      <c r="D188" s="2" t="s">
        <v>867</v>
      </c>
      <c r="E188" s="3">
        <v>2017</v>
      </c>
      <c r="F188" s="2">
        <v>22</v>
      </c>
      <c r="G188" s="3" t="s">
        <v>857</v>
      </c>
      <c r="H188" s="21">
        <v>2016</v>
      </c>
      <c r="I188" s="3" t="s">
        <v>2</v>
      </c>
    </row>
    <row r="189" spans="2:9" x14ac:dyDescent="0.25">
      <c r="B189" s="2" t="s">
        <v>195</v>
      </c>
      <c r="C189" s="3">
        <v>17</v>
      </c>
      <c r="D189" s="2" t="s">
        <v>867</v>
      </c>
      <c r="E189" s="3">
        <v>2017</v>
      </c>
      <c r="F189" s="2">
        <v>2</v>
      </c>
      <c r="G189" s="3" t="s">
        <v>867</v>
      </c>
      <c r="H189" s="21">
        <v>2017</v>
      </c>
      <c r="I189" s="3" t="s">
        <v>2</v>
      </c>
    </row>
    <row r="190" spans="2:9" x14ac:dyDescent="0.25">
      <c r="B190" s="2" t="s">
        <v>196</v>
      </c>
      <c r="C190" s="3">
        <v>17</v>
      </c>
      <c r="D190" s="2" t="s">
        <v>867</v>
      </c>
      <c r="E190" s="3">
        <v>2017</v>
      </c>
      <c r="F190" s="2">
        <v>11</v>
      </c>
      <c r="G190" s="3" t="s">
        <v>867</v>
      </c>
      <c r="H190" s="21">
        <v>2017</v>
      </c>
      <c r="I190" s="3" t="s">
        <v>2</v>
      </c>
    </row>
    <row r="191" spans="2:9" x14ac:dyDescent="0.25">
      <c r="B191" s="2" t="s">
        <v>197</v>
      </c>
      <c r="C191" s="3">
        <v>17</v>
      </c>
      <c r="D191" s="2" t="s">
        <v>867</v>
      </c>
      <c r="E191" s="3">
        <v>2017</v>
      </c>
      <c r="F191" s="2">
        <v>25</v>
      </c>
      <c r="G191" s="3" t="s">
        <v>861</v>
      </c>
      <c r="H191" s="21">
        <v>2017</v>
      </c>
      <c r="I191" s="3" t="s">
        <v>3</v>
      </c>
    </row>
    <row r="192" spans="2:9" x14ac:dyDescent="0.25">
      <c r="B192" s="2" t="s">
        <v>198</v>
      </c>
      <c r="C192" s="3">
        <v>21</v>
      </c>
      <c r="D192" s="2" t="s">
        <v>867</v>
      </c>
      <c r="E192" s="3">
        <v>2017</v>
      </c>
      <c r="F192" s="2">
        <v>16</v>
      </c>
      <c r="G192" s="3" t="s">
        <v>861</v>
      </c>
      <c r="H192" s="21">
        <v>2017</v>
      </c>
      <c r="I192" s="3" t="s">
        <v>2</v>
      </c>
    </row>
    <row r="193" spans="2:9" x14ac:dyDescent="0.25">
      <c r="B193" s="2" t="s">
        <v>199</v>
      </c>
      <c r="C193" s="3">
        <v>21</v>
      </c>
      <c r="D193" s="2" t="s">
        <v>867</v>
      </c>
      <c r="E193" s="2">
        <v>2017</v>
      </c>
      <c r="F193" s="2">
        <v>22</v>
      </c>
      <c r="G193" s="3" t="s">
        <v>857</v>
      </c>
      <c r="H193" s="21">
        <v>2016</v>
      </c>
      <c r="I193" s="3" t="s">
        <v>3</v>
      </c>
    </row>
    <row r="194" spans="2:9" x14ac:dyDescent="0.25">
      <c r="B194" s="2" t="s">
        <v>200</v>
      </c>
      <c r="C194" s="3">
        <v>21</v>
      </c>
      <c r="D194" s="2" t="s">
        <v>867</v>
      </c>
      <c r="E194" s="2">
        <v>2017</v>
      </c>
      <c r="F194" s="2">
        <v>21</v>
      </c>
      <c r="G194" s="3" t="s">
        <v>856</v>
      </c>
      <c r="H194" s="21">
        <v>2017</v>
      </c>
      <c r="I194" s="3" t="s">
        <v>3</v>
      </c>
    </row>
    <row r="195" spans="2:9" x14ac:dyDescent="0.25">
      <c r="B195" s="2" t="s">
        <v>201</v>
      </c>
      <c r="C195" s="3">
        <v>21</v>
      </c>
      <c r="D195" s="2" t="s">
        <v>867</v>
      </c>
      <c r="E195" s="3">
        <v>2017</v>
      </c>
      <c r="F195" s="2">
        <v>17</v>
      </c>
      <c r="G195" s="3" t="s">
        <v>861</v>
      </c>
      <c r="H195" s="21">
        <v>2017</v>
      </c>
      <c r="I195" s="3" t="s">
        <v>2</v>
      </c>
    </row>
    <row r="196" spans="2:9" x14ac:dyDescent="0.25">
      <c r="B196" s="2" t="s">
        <v>202</v>
      </c>
      <c r="C196" s="3">
        <v>21</v>
      </c>
      <c r="D196" s="2" t="s">
        <v>867</v>
      </c>
      <c r="E196" s="3">
        <v>2017</v>
      </c>
      <c r="F196" s="2">
        <v>10</v>
      </c>
      <c r="G196" s="3" t="s">
        <v>867</v>
      </c>
      <c r="H196" s="21">
        <v>2017</v>
      </c>
      <c r="I196" s="3" t="s">
        <v>3</v>
      </c>
    </row>
    <row r="197" spans="2:9" x14ac:dyDescent="0.25">
      <c r="B197" s="2" t="s">
        <v>203</v>
      </c>
      <c r="C197" s="3">
        <v>22</v>
      </c>
      <c r="D197" s="2" t="s">
        <v>867</v>
      </c>
      <c r="E197" s="3">
        <v>2017</v>
      </c>
      <c r="F197" s="2">
        <v>4</v>
      </c>
      <c r="G197" s="3" t="s">
        <v>867</v>
      </c>
      <c r="H197" s="21">
        <v>2017</v>
      </c>
      <c r="I197" s="3" t="s">
        <v>3</v>
      </c>
    </row>
    <row r="198" spans="2:9" x14ac:dyDescent="0.25">
      <c r="B198" s="2" t="s">
        <v>204</v>
      </c>
      <c r="C198" s="3">
        <v>22</v>
      </c>
      <c r="D198" s="2" t="s">
        <v>867</v>
      </c>
      <c r="E198" s="3">
        <v>2017</v>
      </c>
      <c r="F198" s="2">
        <v>3</v>
      </c>
      <c r="G198" s="3" t="s">
        <v>856</v>
      </c>
      <c r="H198" s="21">
        <v>2016</v>
      </c>
      <c r="I198" s="3" t="s">
        <v>3</v>
      </c>
    </row>
    <row r="199" spans="2:9" x14ac:dyDescent="0.25">
      <c r="B199" s="2" t="s">
        <v>205</v>
      </c>
      <c r="C199" s="3">
        <v>22</v>
      </c>
      <c r="D199" s="2" t="s">
        <v>867</v>
      </c>
      <c r="E199" s="3">
        <v>2017</v>
      </c>
      <c r="F199" s="2">
        <v>7</v>
      </c>
      <c r="G199" s="3" t="s">
        <v>856</v>
      </c>
      <c r="H199" s="21">
        <v>1955</v>
      </c>
      <c r="I199" s="3" t="s">
        <v>3</v>
      </c>
    </row>
    <row r="200" spans="2:9" x14ac:dyDescent="0.25">
      <c r="B200" s="2" t="s">
        <v>206</v>
      </c>
      <c r="C200" s="3">
        <v>22</v>
      </c>
      <c r="D200" s="2" t="s">
        <v>867</v>
      </c>
      <c r="E200" s="3">
        <v>2017</v>
      </c>
      <c r="F200" s="2">
        <v>10</v>
      </c>
      <c r="G200" s="3" t="s">
        <v>870</v>
      </c>
      <c r="H200" s="21">
        <v>2002</v>
      </c>
      <c r="I200" s="3" t="s">
        <v>3</v>
      </c>
    </row>
    <row r="201" spans="2:9" x14ac:dyDescent="0.25">
      <c r="B201" s="2" t="s">
        <v>207</v>
      </c>
      <c r="C201" s="3">
        <v>22</v>
      </c>
      <c r="D201" s="2" t="s">
        <v>867</v>
      </c>
      <c r="E201" s="3">
        <v>2017</v>
      </c>
      <c r="F201" s="2">
        <v>22</v>
      </c>
      <c r="G201" s="3" t="s">
        <v>861</v>
      </c>
      <c r="H201" s="21">
        <v>2017</v>
      </c>
      <c r="I201" s="3" t="s">
        <v>3</v>
      </c>
    </row>
    <row r="202" spans="2:9" x14ac:dyDescent="0.25">
      <c r="B202" s="2" t="s">
        <v>208</v>
      </c>
      <c r="C202" s="3">
        <v>23</v>
      </c>
      <c r="D202" s="2" t="s">
        <v>867</v>
      </c>
      <c r="E202" s="3">
        <v>2017</v>
      </c>
      <c r="F202" s="2">
        <v>26</v>
      </c>
      <c r="G202" s="3" t="s">
        <v>866</v>
      </c>
      <c r="H202" s="21">
        <v>1999</v>
      </c>
      <c r="I202" s="3" t="s">
        <v>3</v>
      </c>
    </row>
    <row r="203" spans="2:9" x14ac:dyDescent="0.25">
      <c r="B203" s="2" t="s">
        <v>209</v>
      </c>
      <c r="C203" s="3">
        <v>23</v>
      </c>
      <c r="D203" s="2" t="s">
        <v>867</v>
      </c>
      <c r="E203" s="2">
        <v>2017</v>
      </c>
      <c r="F203" s="2">
        <v>16</v>
      </c>
      <c r="G203" s="3" t="s">
        <v>856</v>
      </c>
      <c r="H203" s="21">
        <v>2017</v>
      </c>
      <c r="I203" s="3" t="s">
        <v>3</v>
      </c>
    </row>
    <row r="204" spans="2:9" x14ac:dyDescent="0.25">
      <c r="B204" s="2" t="s">
        <v>210</v>
      </c>
      <c r="C204" s="3">
        <v>24</v>
      </c>
      <c r="D204" s="2" t="s">
        <v>867</v>
      </c>
      <c r="E204" s="2">
        <v>2017</v>
      </c>
      <c r="F204" s="2">
        <v>27</v>
      </c>
      <c r="G204" s="3" t="s">
        <v>868</v>
      </c>
      <c r="H204" s="19">
        <v>1952</v>
      </c>
      <c r="I204" s="2" t="s">
        <v>3</v>
      </c>
    </row>
    <row r="205" spans="2:9" x14ac:dyDescent="0.25">
      <c r="B205" s="2" t="s">
        <v>211</v>
      </c>
      <c r="C205" s="3">
        <v>24</v>
      </c>
      <c r="D205" s="2" t="s">
        <v>867</v>
      </c>
      <c r="E205" s="3">
        <v>2017</v>
      </c>
      <c r="F205" s="2">
        <v>14</v>
      </c>
      <c r="G205" s="3" t="s">
        <v>858</v>
      </c>
      <c r="H205" s="19">
        <v>2016</v>
      </c>
      <c r="I205" s="2" t="s">
        <v>3</v>
      </c>
    </row>
    <row r="206" spans="2:9" x14ac:dyDescent="0.25">
      <c r="B206" s="2" t="s">
        <v>212</v>
      </c>
      <c r="C206" s="3">
        <v>24</v>
      </c>
      <c r="D206" s="2" t="s">
        <v>867</v>
      </c>
      <c r="E206" s="3">
        <v>2017</v>
      </c>
      <c r="F206" s="2">
        <v>6</v>
      </c>
      <c r="G206" s="3" t="s">
        <v>856</v>
      </c>
      <c r="H206" s="19">
        <v>1990</v>
      </c>
      <c r="I206" s="2" t="s">
        <v>2</v>
      </c>
    </row>
    <row r="207" spans="2:9" x14ac:dyDescent="0.25">
      <c r="B207" s="2" t="s">
        <v>213</v>
      </c>
      <c r="C207" s="3">
        <v>24</v>
      </c>
      <c r="D207" s="2" t="s">
        <v>867</v>
      </c>
      <c r="E207" s="3">
        <v>2017</v>
      </c>
      <c r="F207" s="2">
        <v>7</v>
      </c>
      <c r="G207" s="3" t="s">
        <v>867</v>
      </c>
      <c r="H207" s="19">
        <v>1955</v>
      </c>
      <c r="I207" s="2" t="s">
        <v>3</v>
      </c>
    </row>
    <row r="208" spans="2:9" x14ac:dyDescent="0.25">
      <c r="B208" s="2" t="s">
        <v>214</v>
      </c>
      <c r="C208" s="3">
        <v>24</v>
      </c>
      <c r="D208" s="2" t="s">
        <v>867</v>
      </c>
      <c r="E208" s="3">
        <v>2017</v>
      </c>
      <c r="F208" s="2">
        <v>1</v>
      </c>
      <c r="G208" s="3" t="s">
        <v>868</v>
      </c>
      <c r="H208" s="19">
        <v>1971</v>
      </c>
      <c r="I208" s="2" t="s">
        <v>2</v>
      </c>
    </row>
    <row r="209" spans="2:9" x14ac:dyDescent="0.25">
      <c r="B209" s="2" t="s">
        <v>215</v>
      </c>
      <c r="C209" s="3">
        <v>24</v>
      </c>
      <c r="D209" s="2" t="s">
        <v>867</v>
      </c>
      <c r="E209" s="3">
        <v>2017</v>
      </c>
      <c r="F209" s="2">
        <v>21</v>
      </c>
      <c r="G209" s="3" t="s">
        <v>857</v>
      </c>
      <c r="H209" s="19">
        <v>2015</v>
      </c>
      <c r="I209" s="2" t="s">
        <v>2</v>
      </c>
    </row>
    <row r="210" spans="2:9" x14ac:dyDescent="0.25">
      <c r="B210" s="2" t="s">
        <v>216</v>
      </c>
      <c r="C210" s="3">
        <v>24</v>
      </c>
      <c r="D210" s="2" t="s">
        <v>867</v>
      </c>
      <c r="E210" s="3">
        <v>2017</v>
      </c>
      <c r="F210" s="2">
        <v>25</v>
      </c>
      <c r="G210" s="3" t="s">
        <v>870</v>
      </c>
      <c r="H210" s="19">
        <v>1952</v>
      </c>
      <c r="I210" s="2" t="s">
        <v>3</v>
      </c>
    </row>
    <row r="211" spans="2:9" x14ac:dyDescent="0.25">
      <c r="B211" s="2" t="s">
        <v>217</v>
      </c>
      <c r="C211" s="3">
        <v>24</v>
      </c>
      <c r="D211" s="2" t="s">
        <v>867</v>
      </c>
      <c r="E211" s="3">
        <v>2017</v>
      </c>
      <c r="F211" s="2">
        <v>20</v>
      </c>
      <c r="G211" s="3" t="s">
        <v>857</v>
      </c>
      <c r="H211" s="19">
        <v>2016</v>
      </c>
      <c r="I211" s="2" t="s">
        <v>3</v>
      </c>
    </row>
    <row r="212" spans="2:9" x14ac:dyDescent="0.25">
      <c r="B212" s="2" t="s">
        <v>218</v>
      </c>
      <c r="C212" s="3">
        <v>24</v>
      </c>
      <c r="D212" s="2" t="s">
        <v>867</v>
      </c>
      <c r="E212" s="3">
        <v>2017</v>
      </c>
      <c r="F212" s="2">
        <v>3</v>
      </c>
      <c r="G212" s="3" t="s">
        <v>867</v>
      </c>
      <c r="H212" s="19">
        <v>2017</v>
      </c>
      <c r="I212" s="2" t="s">
        <v>3</v>
      </c>
    </row>
    <row r="213" spans="2:9" x14ac:dyDescent="0.25">
      <c r="B213" s="2" t="s">
        <v>219</v>
      </c>
      <c r="C213" s="3">
        <v>24</v>
      </c>
      <c r="D213" s="2" t="s">
        <v>867</v>
      </c>
      <c r="E213" s="2">
        <v>2017</v>
      </c>
      <c r="F213" s="2">
        <v>5</v>
      </c>
      <c r="G213" s="3" t="s">
        <v>861</v>
      </c>
      <c r="H213" s="19">
        <v>2015</v>
      </c>
      <c r="I213" s="2" t="s">
        <v>3</v>
      </c>
    </row>
    <row r="214" spans="2:9" x14ac:dyDescent="0.25">
      <c r="B214" s="2" t="s">
        <v>220</v>
      </c>
      <c r="C214" s="3">
        <v>24</v>
      </c>
      <c r="D214" s="2" t="s">
        <v>867</v>
      </c>
      <c r="E214" s="2">
        <v>2017</v>
      </c>
      <c r="F214" s="2">
        <v>10</v>
      </c>
      <c r="G214" s="3" t="s">
        <v>868</v>
      </c>
      <c r="H214" s="19">
        <v>1952</v>
      </c>
      <c r="I214" s="2" t="s">
        <v>2</v>
      </c>
    </row>
    <row r="215" spans="2:9" x14ac:dyDescent="0.25">
      <c r="B215" s="2" t="s">
        <v>221</v>
      </c>
      <c r="C215" s="3">
        <v>24</v>
      </c>
      <c r="D215" s="2" t="s">
        <v>867</v>
      </c>
      <c r="E215" s="3">
        <v>2017</v>
      </c>
      <c r="F215" s="2">
        <v>20</v>
      </c>
      <c r="G215" s="3" t="s">
        <v>861</v>
      </c>
      <c r="H215" s="19">
        <v>1976</v>
      </c>
      <c r="I215" s="2" t="s">
        <v>3</v>
      </c>
    </row>
    <row r="216" spans="2:9" x14ac:dyDescent="0.25">
      <c r="B216" s="2" t="s">
        <v>222</v>
      </c>
      <c r="C216" s="3">
        <v>24</v>
      </c>
      <c r="D216" s="2" t="s">
        <v>867</v>
      </c>
      <c r="E216" s="3">
        <v>2017</v>
      </c>
      <c r="F216" s="2">
        <v>1</v>
      </c>
      <c r="G216" s="3" t="s">
        <v>867</v>
      </c>
      <c r="H216" s="19">
        <v>2017</v>
      </c>
      <c r="I216" s="2" t="s">
        <v>2</v>
      </c>
    </row>
    <row r="217" spans="2:9" x14ac:dyDescent="0.25">
      <c r="B217" s="2" t="s">
        <v>223</v>
      </c>
      <c r="C217" s="3">
        <v>24</v>
      </c>
      <c r="D217" s="2" t="s">
        <v>867</v>
      </c>
      <c r="E217" s="3">
        <v>2017</v>
      </c>
      <c r="F217" s="2">
        <v>23</v>
      </c>
      <c r="G217" s="3" t="s">
        <v>866</v>
      </c>
      <c r="H217" s="19">
        <v>1952</v>
      </c>
      <c r="I217" s="2" t="s">
        <v>2</v>
      </c>
    </row>
    <row r="218" spans="2:9" x14ac:dyDescent="0.25">
      <c r="B218" s="2" t="s">
        <v>224</v>
      </c>
      <c r="C218" s="3">
        <v>24</v>
      </c>
      <c r="D218" s="2" t="s">
        <v>867</v>
      </c>
      <c r="E218" s="3">
        <v>2017</v>
      </c>
      <c r="F218" s="2">
        <v>24</v>
      </c>
      <c r="G218" s="3" t="s">
        <v>858</v>
      </c>
      <c r="H218" s="19">
        <v>1986</v>
      </c>
      <c r="I218" s="2" t="s">
        <v>3</v>
      </c>
    </row>
    <row r="219" spans="2:9" x14ac:dyDescent="0.25">
      <c r="B219" s="2" t="s">
        <v>225</v>
      </c>
      <c r="C219" s="3">
        <v>24</v>
      </c>
      <c r="D219" s="2" t="s">
        <v>867</v>
      </c>
      <c r="E219" s="3">
        <v>2017</v>
      </c>
      <c r="F219" s="2">
        <v>10</v>
      </c>
      <c r="G219" s="3" t="s">
        <v>868</v>
      </c>
      <c r="H219" s="19">
        <v>1967</v>
      </c>
      <c r="I219" s="2" t="s">
        <v>3</v>
      </c>
    </row>
    <row r="220" spans="2:9" x14ac:dyDescent="0.25">
      <c r="B220" s="2" t="s">
        <v>226</v>
      </c>
      <c r="C220" s="3">
        <v>24</v>
      </c>
      <c r="D220" s="2" t="s">
        <v>867</v>
      </c>
      <c r="E220" s="3">
        <v>2017</v>
      </c>
      <c r="F220" s="2">
        <v>16</v>
      </c>
      <c r="G220" s="3" t="s">
        <v>870</v>
      </c>
      <c r="H220" s="19">
        <v>2015</v>
      </c>
      <c r="I220" s="2" t="s">
        <v>3</v>
      </c>
    </row>
    <row r="221" spans="2:9" x14ac:dyDescent="0.25">
      <c r="B221" s="2" t="s">
        <v>227</v>
      </c>
      <c r="C221" s="3">
        <v>24</v>
      </c>
      <c r="D221" s="2" t="s">
        <v>867</v>
      </c>
      <c r="E221" s="3">
        <v>2017</v>
      </c>
      <c r="F221" s="2">
        <v>27</v>
      </c>
      <c r="G221" s="3" t="s">
        <v>866</v>
      </c>
      <c r="H221" s="19">
        <v>1963</v>
      </c>
      <c r="I221" s="2" t="s">
        <v>2</v>
      </c>
    </row>
    <row r="222" spans="2:9" x14ac:dyDescent="0.25">
      <c r="B222" s="2" t="s">
        <v>228</v>
      </c>
      <c r="C222" s="3">
        <v>24</v>
      </c>
      <c r="D222" s="2" t="s">
        <v>867</v>
      </c>
      <c r="E222" s="3">
        <v>2017</v>
      </c>
      <c r="F222" s="2">
        <v>9</v>
      </c>
      <c r="G222" s="3" t="s">
        <v>858</v>
      </c>
      <c r="H222" s="19">
        <v>1955</v>
      </c>
      <c r="I222" s="2" t="s">
        <v>3</v>
      </c>
    </row>
    <row r="223" spans="2:9" x14ac:dyDescent="0.25">
      <c r="B223" s="2" t="s">
        <v>229</v>
      </c>
      <c r="C223" s="3">
        <v>24</v>
      </c>
      <c r="D223" s="2" t="s">
        <v>867</v>
      </c>
      <c r="E223" s="2">
        <v>2017</v>
      </c>
      <c r="F223" s="2">
        <v>31</v>
      </c>
      <c r="G223" s="3" t="s">
        <v>856</v>
      </c>
      <c r="H223" s="19">
        <v>1961</v>
      </c>
      <c r="I223" s="2" t="s">
        <v>2</v>
      </c>
    </row>
    <row r="224" spans="2:9" x14ac:dyDescent="0.25">
      <c r="B224" s="2" t="s">
        <v>230</v>
      </c>
      <c r="C224" s="3">
        <v>24</v>
      </c>
      <c r="D224" s="2" t="s">
        <v>867</v>
      </c>
      <c r="E224" s="2">
        <v>2017</v>
      </c>
      <c r="F224" s="2">
        <v>19</v>
      </c>
      <c r="G224" s="3" t="s">
        <v>857</v>
      </c>
      <c r="H224" s="19">
        <v>2016</v>
      </c>
      <c r="I224" s="2" t="s">
        <v>2</v>
      </c>
    </row>
    <row r="225" spans="2:9" x14ac:dyDescent="0.25">
      <c r="B225" s="2" t="s">
        <v>231</v>
      </c>
      <c r="C225" s="3">
        <v>24</v>
      </c>
      <c r="D225" s="2" t="s">
        <v>867</v>
      </c>
      <c r="E225" s="3">
        <v>2017</v>
      </c>
      <c r="F225" s="2">
        <v>3</v>
      </c>
      <c r="G225" s="3" t="s">
        <v>866</v>
      </c>
      <c r="H225" s="19">
        <v>1935</v>
      </c>
      <c r="I225" s="2" t="s">
        <v>3</v>
      </c>
    </row>
    <row r="226" spans="2:9" x14ac:dyDescent="0.25">
      <c r="B226" s="2" t="s">
        <v>232</v>
      </c>
      <c r="C226" s="3">
        <v>24</v>
      </c>
      <c r="D226" s="2" t="s">
        <v>867</v>
      </c>
      <c r="E226" s="3">
        <v>2017</v>
      </c>
      <c r="F226" s="2">
        <v>17</v>
      </c>
      <c r="G226" s="3" t="s">
        <v>868</v>
      </c>
      <c r="H226" s="19">
        <v>2016</v>
      </c>
      <c r="I226" s="2" t="s">
        <v>2</v>
      </c>
    </row>
    <row r="227" spans="2:9" x14ac:dyDescent="0.25">
      <c r="B227" s="2" t="s">
        <v>233</v>
      </c>
      <c r="C227" s="3">
        <v>24</v>
      </c>
      <c r="D227" s="2" t="s">
        <v>867</v>
      </c>
      <c r="E227" s="3">
        <v>2017</v>
      </c>
      <c r="F227" s="2">
        <v>22</v>
      </c>
      <c r="G227" s="3" t="s">
        <v>869</v>
      </c>
      <c r="H227" s="19">
        <v>1959</v>
      </c>
      <c r="I227" s="2" t="s">
        <v>3</v>
      </c>
    </row>
    <row r="228" spans="2:9" x14ac:dyDescent="0.25">
      <c r="B228" s="2" t="s">
        <v>234</v>
      </c>
      <c r="C228" s="3">
        <v>24</v>
      </c>
      <c r="D228" s="2" t="s">
        <v>867</v>
      </c>
      <c r="E228" s="3">
        <v>2017</v>
      </c>
      <c r="F228" s="2">
        <v>4</v>
      </c>
      <c r="G228" s="3" t="s">
        <v>866</v>
      </c>
      <c r="H228" s="19">
        <v>1952</v>
      </c>
      <c r="I228" s="2" t="s">
        <v>2</v>
      </c>
    </row>
    <row r="229" spans="2:9" x14ac:dyDescent="0.25">
      <c r="B229" s="2" t="s">
        <v>235</v>
      </c>
      <c r="C229" s="3">
        <v>24</v>
      </c>
      <c r="D229" s="2" t="s">
        <v>867</v>
      </c>
      <c r="E229" s="3">
        <v>2017</v>
      </c>
      <c r="F229" s="2">
        <v>22</v>
      </c>
      <c r="G229" s="3" t="s">
        <v>857</v>
      </c>
      <c r="H229" s="19">
        <v>1940</v>
      </c>
      <c r="I229" s="2" t="s">
        <v>3</v>
      </c>
    </row>
    <row r="230" spans="2:9" x14ac:dyDescent="0.25">
      <c r="B230" s="2" t="s">
        <v>236</v>
      </c>
      <c r="C230" s="3">
        <v>24</v>
      </c>
      <c r="D230" s="2" t="s">
        <v>867</v>
      </c>
      <c r="E230" s="3">
        <v>2017</v>
      </c>
      <c r="F230" s="2">
        <v>13</v>
      </c>
      <c r="G230" s="3" t="s">
        <v>866</v>
      </c>
      <c r="H230" s="19">
        <v>1959</v>
      </c>
      <c r="I230" s="2" t="s">
        <v>2</v>
      </c>
    </row>
    <row r="231" spans="2:9" x14ac:dyDescent="0.25">
      <c r="B231" s="2" t="s">
        <v>237</v>
      </c>
      <c r="C231" s="3">
        <v>24</v>
      </c>
      <c r="D231" s="2" t="s">
        <v>867</v>
      </c>
      <c r="E231" s="3">
        <v>2017</v>
      </c>
      <c r="F231" s="2">
        <v>14</v>
      </c>
      <c r="G231" s="3" t="s">
        <v>867</v>
      </c>
      <c r="H231" s="19">
        <v>2017</v>
      </c>
      <c r="I231" s="2" t="s">
        <v>2</v>
      </c>
    </row>
    <row r="232" spans="2:9" x14ac:dyDescent="0.25">
      <c r="B232" s="2" t="s">
        <v>238</v>
      </c>
      <c r="C232" s="3">
        <v>24</v>
      </c>
      <c r="D232" s="2" t="s">
        <v>867</v>
      </c>
      <c r="E232" s="3">
        <v>2017</v>
      </c>
      <c r="F232" s="2">
        <v>20</v>
      </c>
      <c r="G232" s="3" t="s">
        <v>865</v>
      </c>
      <c r="H232" s="19">
        <v>1945</v>
      </c>
      <c r="I232" s="2" t="s">
        <v>3</v>
      </c>
    </row>
    <row r="233" spans="2:9" x14ac:dyDescent="0.25">
      <c r="B233" s="2" t="s">
        <v>239</v>
      </c>
      <c r="C233" s="3">
        <v>24</v>
      </c>
      <c r="D233" s="2" t="s">
        <v>867</v>
      </c>
      <c r="E233" s="2">
        <v>2017</v>
      </c>
      <c r="F233" s="2">
        <v>14</v>
      </c>
      <c r="G233" s="3" t="s">
        <v>867</v>
      </c>
      <c r="H233" s="19">
        <v>2017</v>
      </c>
      <c r="I233" s="2" t="s">
        <v>2</v>
      </c>
    </row>
    <row r="234" spans="2:9" x14ac:dyDescent="0.25">
      <c r="B234" s="2" t="s">
        <v>240</v>
      </c>
      <c r="C234" s="3">
        <v>24</v>
      </c>
      <c r="D234" s="2" t="s">
        <v>867</v>
      </c>
      <c r="E234" s="2">
        <v>2017</v>
      </c>
      <c r="F234" s="2">
        <v>30</v>
      </c>
      <c r="G234" s="3" t="s">
        <v>870</v>
      </c>
      <c r="H234" s="19">
        <v>1947</v>
      </c>
      <c r="I234" s="2" t="s">
        <v>2</v>
      </c>
    </row>
    <row r="235" spans="2:9" x14ac:dyDescent="0.25">
      <c r="B235" s="2" t="s">
        <v>241</v>
      </c>
      <c r="C235" s="3">
        <v>24</v>
      </c>
      <c r="D235" s="2" t="s">
        <v>867</v>
      </c>
      <c r="E235" s="3">
        <v>2017</v>
      </c>
      <c r="F235" s="2">
        <v>4</v>
      </c>
      <c r="G235" s="3" t="s">
        <v>863</v>
      </c>
      <c r="H235" s="19">
        <v>2012</v>
      </c>
      <c r="I235" s="2" t="s">
        <v>3</v>
      </c>
    </row>
    <row r="236" spans="2:9" x14ac:dyDescent="0.25">
      <c r="B236" s="2" t="s">
        <v>242</v>
      </c>
      <c r="C236" s="3">
        <v>24</v>
      </c>
      <c r="D236" s="2" t="s">
        <v>867</v>
      </c>
      <c r="E236" s="3">
        <v>2017</v>
      </c>
      <c r="F236" s="2">
        <v>3</v>
      </c>
      <c r="G236" s="3" t="s">
        <v>869</v>
      </c>
      <c r="H236" s="19">
        <v>1952</v>
      </c>
      <c r="I236" s="2" t="s">
        <v>2</v>
      </c>
    </row>
    <row r="237" spans="2:9" x14ac:dyDescent="0.25">
      <c r="B237" s="2" t="s">
        <v>243</v>
      </c>
      <c r="C237" s="3">
        <v>24</v>
      </c>
      <c r="D237" s="2" t="s">
        <v>867</v>
      </c>
      <c r="E237" s="3">
        <v>2017</v>
      </c>
      <c r="F237" s="2">
        <v>9</v>
      </c>
      <c r="G237" s="3" t="s">
        <v>856</v>
      </c>
      <c r="H237" s="19">
        <v>2017</v>
      </c>
      <c r="I237" s="2" t="s">
        <v>2</v>
      </c>
    </row>
    <row r="238" spans="2:9" x14ac:dyDescent="0.25">
      <c r="B238" s="2" t="s">
        <v>244</v>
      </c>
      <c r="C238" s="3">
        <v>24</v>
      </c>
      <c r="D238" s="2" t="s">
        <v>867</v>
      </c>
      <c r="E238" s="3">
        <v>2017</v>
      </c>
      <c r="F238" s="2">
        <v>14</v>
      </c>
      <c r="G238" s="3" t="s">
        <v>861</v>
      </c>
      <c r="H238" s="19">
        <v>1952</v>
      </c>
      <c r="I238" s="2" t="s">
        <v>2</v>
      </c>
    </row>
    <row r="239" spans="2:9" x14ac:dyDescent="0.25">
      <c r="B239" s="2" t="s">
        <v>245</v>
      </c>
      <c r="C239" s="3">
        <v>24</v>
      </c>
      <c r="D239" s="2" t="s">
        <v>867</v>
      </c>
      <c r="E239" s="3">
        <v>2017</v>
      </c>
      <c r="F239" s="2">
        <v>9</v>
      </c>
      <c r="G239" s="3" t="s">
        <v>856</v>
      </c>
      <c r="H239" s="19">
        <v>2017</v>
      </c>
      <c r="I239" s="2" t="s">
        <v>2</v>
      </c>
    </row>
    <row r="240" spans="2:9" x14ac:dyDescent="0.25">
      <c r="B240" s="2" t="s">
        <v>246</v>
      </c>
      <c r="C240" s="3">
        <v>24</v>
      </c>
      <c r="D240" s="2" t="s">
        <v>867</v>
      </c>
      <c r="E240" s="3">
        <v>2017</v>
      </c>
      <c r="F240" s="2">
        <v>10</v>
      </c>
      <c r="G240" s="3" t="s">
        <v>869</v>
      </c>
      <c r="H240" s="19">
        <v>1938</v>
      </c>
      <c r="I240" s="2" t="s">
        <v>3</v>
      </c>
    </row>
    <row r="241" spans="2:9" x14ac:dyDescent="0.25">
      <c r="B241" s="2" t="s">
        <v>247</v>
      </c>
      <c r="C241" s="3">
        <v>24</v>
      </c>
      <c r="D241" s="2" t="s">
        <v>867</v>
      </c>
      <c r="E241" s="3">
        <v>2017</v>
      </c>
      <c r="F241" s="2">
        <v>26</v>
      </c>
      <c r="G241" s="3" t="s">
        <v>858</v>
      </c>
      <c r="H241" s="19">
        <v>2016</v>
      </c>
      <c r="I241" s="2" t="s">
        <v>2</v>
      </c>
    </row>
    <row r="242" spans="2:9" x14ac:dyDescent="0.25">
      <c r="B242" s="2" t="s">
        <v>248</v>
      </c>
      <c r="C242" s="3">
        <v>24</v>
      </c>
      <c r="D242" s="2" t="s">
        <v>867</v>
      </c>
      <c r="E242" s="3">
        <v>2017</v>
      </c>
      <c r="F242" s="2">
        <v>26</v>
      </c>
      <c r="G242" s="3" t="s">
        <v>857</v>
      </c>
      <c r="H242" s="19">
        <v>1934</v>
      </c>
      <c r="I242" s="2" t="s">
        <v>3</v>
      </c>
    </row>
    <row r="243" spans="2:9" x14ac:dyDescent="0.25">
      <c r="B243" s="2" t="s">
        <v>249</v>
      </c>
      <c r="C243" s="3">
        <v>24</v>
      </c>
      <c r="D243" s="2" t="s">
        <v>867</v>
      </c>
      <c r="E243" s="2">
        <v>2017</v>
      </c>
      <c r="F243" s="2">
        <v>16</v>
      </c>
      <c r="G243" s="3" t="s">
        <v>863</v>
      </c>
      <c r="H243" s="19">
        <v>1939</v>
      </c>
      <c r="I243" s="2" t="s">
        <v>3</v>
      </c>
    </row>
    <row r="244" spans="2:9" x14ac:dyDescent="0.25">
      <c r="B244" s="2" t="s">
        <v>250</v>
      </c>
      <c r="C244" s="3">
        <v>24</v>
      </c>
      <c r="D244" s="2" t="s">
        <v>867</v>
      </c>
      <c r="E244" s="2">
        <v>2017</v>
      </c>
      <c r="F244" s="2">
        <v>15</v>
      </c>
      <c r="G244" s="3" t="s">
        <v>861</v>
      </c>
      <c r="H244" s="19">
        <v>1937</v>
      </c>
      <c r="I244" s="2" t="s">
        <v>2</v>
      </c>
    </row>
    <row r="245" spans="2:9" x14ac:dyDescent="0.25">
      <c r="B245" s="2" t="s">
        <v>251</v>
      </c>
      <c r="C245" s="3">
        <v>24</v>
      </c>
      <c r="D245" s="2" t="s">
        <v>867</v>
      </c>
      <c r="E245" s="3">
        <v>2017</v>
      </c>
      <c r="F245" s="2">
        <v>6</v>
      </c>
      <c r="G245" s="3" t="s">
        <v>869</v>
      </c>
      <c r="H245" s="19">
        <v>1948</v>
      </c>
      <c r="I245" s="2" t="s">
        <v>2</v>
      </c>
    </row>
    <row r="246" spans="2:9" x14ac:dyDescent="0.25">
      <c r="B246" s="2" t="s">
        <v>252</v>
      </c>
      <c r="C246" s="3">
        <v>24</v>
      </c>
      <c r="D246" s="2" t="s">
        <v>867</v>
      </c>
      <c r="E246" s="3">
        <v>2017</v>
      </c>
      <c r="F246" s="2">
        <v>2</v>
      </c>
      <c r="G246" s="3" t="s">
        <v>863</v>
      </c>
      <c r="H246" s="19">
        <v>1966</v>
      </c>
      <c r="I246" s="2" t="s">
        <v>3</v>
      </c>
    </row>
    <row r="247" spans="2:9" x14ac:dyDescent="0.25">
      <c r="B247" s="2" t="s">
        <v>253</v>
      </c>
      <c r="C247" s="3">
        <v>24</v>
      </c>
      <c r="D247" s="2" t="s">
        <v>867</v>
      </c>
      <c r="E247" s="3">
        <v>2017</v>
      </c>
      <c r="F247" s="2">
        <v>15</v>
      </c>
      <c r="G247" s="3" t="s">
        <v>866</v>
      </c>
      <c r="H247" s="19">
        <v>1989</v>
      </c>
      <c r="I247" s="2" t="s">
        <v>3</v>
      </c>
    </row>
    <row r="248" spans="2:9" x14ac:dyDescent="0.25">
      <c r="B248" s="2" t="s">
        <v>254</v>
      </c>
      <c r="C248" s="3">
        <v>24</v>
      </c>
      <c r="D248" s="2" t="s">
        <v>867</v>
      </c>
      <c r="E248" s="3">
        <v>2017</v>
      </c>
      <c r="F248" s="2">
        <v>30</v>
      </c>
      <c r="G248" s="3" t="s">
        <v>866</v>
      </c>
      <c r="H248" s="19">
        <v>1974</v>
      </c>
      <c r="I248" s="2" t="s">
        <v>2</v>
      </c>
    </row>
    <row r="249" spans="2:9" x14ac:dyDescent="0.25">
      <c r="B249" s="2" t="s">
        <v>255</v>
      </c>
      <c r="C249" s="3">
        <v>24</v>
      </c>
      <c r="D249" s="2" t="s">
        <v>867</v>
      </c>
      <c r="E249" s="3">
        <v>2017</v>
      </c>
      <c r="F249" s="2">
        <v>14</v>
      </c>
      <c r="G249" s="3" t="s">
        <v>864</v>
      </c>
      <c r="H249" s="19">
        <v>16997</v>
      </c>
      <c r="I249" s="2" t="s">
        <v>2</v>
      </c>
    </row>
    <row r="250" spans="2:9" x14ac:dyDescent="0.25">
      <c r="B250" s="2" t="s">
        <v>256</v>
      </c>
      <c r="C250" s="3">
        <v>24</v>
      </c>
      <c r="D250" s="2" t="s">
        <v>867</v>
      </c>
      <c r="E250" s="3">
        <v>2017</v>
      </c>
      <c r="F250" s="2">
        <v>27</v>
      </c>
      <c r="G250" s="3" t="s">
        <v>868</v>
      </c>
      <c r="H250" s="19">
        <v>2016</v>
      </c>
      <c r="I250" s="2" t="s">
        <v>3</v>
      </c>
    </row>
    <row r="251" spans="2:9" x14ac:dyDescent="0.25">
      <c r="B251" s="2" t="s">
        <v>257</v>
      </c>
      <c r="C251" s="3">
        <v>24</v>
      </c>
      <c r="D251" s="2" t="s">
        <v>867</v>
      </c>
      <c r="E251" s="3">
        <v>2017</v>
      </c>
      <c r="F251" s="2">
        <v>25</v>
      </c>
      <c r="G251" s="3" t="s">
        <v>870</v>
      </c>
      <c r="H251" s="19">
        <v>1936</v>
      </c>
      <c r="I251" s="2" t="s">
        <v>3</v>
      </c>
    </row>
    <row r="252" spans="2:9" x14ac:dyDescent="0.25">
      <c r="B252" s="2" t="s">
        <v>258</v>
      </c>
      <c r="C252" s="3">
        <v>24</v>
      </c>
      <c r="D252" s="2" t="s">
        <v>867</v>
      </c>
      <c r="E252" s="3">
        <v>2017</v>
      </c>
      <c r="F252" s="2">
        <v>15</v>
      </c>
      <c r="G252" s="3" t="s">
        <v>861</v>
      </c>
      <c r="H252" s="19">
        <v>2017</v>
      </c>
      <c r="I252" s="2" t="s">
        <v>3</v>
      </c>
    </row>
    <row r="253" spans="2:9" x14ac:dyDescent="0.25">
      <c r="B253" s="2" t="s">
        <v>259</v>
      </c>
      <c r="C253" s="3">
        <v>24</v>
      </c>
      <c r="D253" s="2" t="s">
        <v>867</v>
      </c>
      <c r="E253" s="2">
        <v>2017</v>
      </c>
      <c r="F253" s="2">
        <v>4</v>
      </c>
      <c r="G253" s="3" t="s">
        <v>861</v>
      </c>
      <c r="H253" s="19">
        <v>2017</v>
      </c>
      <c r="I253" s="2" t="s">
        <v>2</v>
      </c>
    </row>
    <row r="254" spans="2:9" x14ac:dyDescent="0.25">
      <c r="B254" s="2" t="s">
        <v>260</v>
      </c>
      <c r="C254" s="3">
        <v>27</v>
      </c>
      <c r="D254" s="2" t="s">
        <v>867</v>
      </c>
      <c r="E254" s="2">
        <v>2017</v>
      </c>
      <c r="F254" s="2">
        <v>29</v>
      </c>
      <c r="G254" s="3" t="s">
        <v>869</v>
      </c>
      <c r="H254" s="19">
        <v>2016</v>
      </c>
      <c r="I254" s="2" t="s">
        <v>2</v>
      </c>
    </row>
    <row r="255" spans="2:9" x14ac:dyDescent="0.25">
      <c r="B255" s="2" t="s">
        <v>261</v>
      </c>
      <c r="C255" s="3">
        <v>27</v>
      </c>
      <c r="D255" s="2" t="s">
        <v>867</v>
      </c>
      <c r="E255" s="3">
        <v>2017</v>
      </c>
      <c r="F255" s="2">
        <v>19</v>
      </c>
      <c r="G255" s="3" t="s">
        <v>856</v>
      </c>
      <c r="H255" s="19">
        <v>2017</v>
      </c>
      <c r="I255" s="2" t="s">
        <v>2</v>
      </c>
    </row>
    <row r="256" spans="2:9" x14ac:dyDescent="0.25">
      <c r="B256" s="2" t="s">
        <v>262</v>
      </c>
      <c r="C256" s="3">
        <v>27</v>
      </c>
      <c r="D256" s="2" t="s">
        <v>867</v>
      </c>
      <c r="E256" s="3">
        <v>2017</v>
      </c>
      <c r="F256" s="2">
        <v>5</v>
      </c>
      <c r="G256" s="3" t="s">
        <v>863</v>
      </c>
      <c r="H256" s="19">
        <v>1962</v>
      </c>
      <c r="I256" s="2" t="s">
        <v>2</v>
      </c>
    </row>
    <row r="257" spans="2:9" x14ac:dyDescent="0.25">
      <c r="B257" s="2" t="s">
        <v>263</v>
      </c>
      <c r="C257" s="3">
        <v>28</v>
      </c>
      <c r="D257" s="2" t="s">
        <v>867</v>
      </c>
      <c r="E257" s="3">
        <v>2017</v>
      </c>
      <c r="F257" s="2">
        <v>14</v>
      </c>
      <c r="G257" s="3" t="s">
        <v>868</v>
      </c>
      <c r="H257" s="19">
        <v>1950</v>
      </c>
      <c r="I257" s="2" t="s">
        <v>3</v>
      </c>
    </row>
    <row r="258" spans="2:9" x14ac:dyDescent="0.25">
      <c r="B258" s="2" t="s">
        <v>264</v>
      </c>
      <c r="C258" s="3">
        <v>28</v>
      </c>
      <c r="D258" s="2" t="s">
        <v>867</v>
      </c>
      <c r="E258" s="3">
        <v>2017</v>
      </c>
      <c r="F258" s="2">
        <v>9</v>
      </c>
      <c r="G258" s="3" t="s">
        <v>867</v>
      </c>
      <c r="H258" s="19">
        <v>1958</v>
      </c>
      <c r="I258" s="2" t="s">
        <v>2</v>
      </c>
    </row>
    <row r="259" spans="2:9" x14ac:dyDescent="0.25">
      <c r="B259" s="2" t="s">
        <v>265</v>
      </c>
      <c r="C259" s="3">
        <v>28</v>
      </c>
      <c r="D259" s="2" t="s">
        <v>867</v>
      </c>
      <c r="E259" s="3">
        <v>2017</v>
      </c>
      <c r="F259" s="2">
        <v>12</v>
      </c>
      <c r="G259" s="3" t="s">
        <v>856</v>
      </c>
      <c r="H259" s="19">
        <v>2017</v>
      </c>
      <c r="I259" s="2" t="s">
        <v>2</v>
      </c>
    </row>
    <row r="260" spans="2:9" x14ac:dyDescent="0.25">
      <c r="B260" s="2" t="s">
        <v>266</v>
      </c>
      <c r="C260" s="3">
        <v>28</v>
      </c>
      <c r="D260" s="2" t="s">
        <v>867</v>
      </c>
      <c r="E260" s="3">
        <v>2017</v>
      </c>
      <c r="F260" s="2">
        <v>13</v>
      </c>
      <c r="G260" s="3" t="s">
        <v>870</v>
      </c>
      <c r="H260" s="19">
        <v>2016</v>
      </c>
      <c r="I260" s="2" t="s">
        <v>3</v>
      </c>
    </row>
    <row r="261" spans="2:9" x14ac:dyDescent="0.25">
      <c r="B261" s="2" t="s">
        <v>267</v>
      </c>
      <c r="C261" s="3">
        <v>28</v>
      </c>
      <c r="D261" s="2" t="s">
        <v>867</v>
      </c>
      <c r="E261" s="3">
        <v>2017</v>
      </c>
      <c r="F261" s="2">
        <v>14</v>
      </c>
      <c r="G261" s="3" t="s">
        <v>856</v>
      </c>
      <c r="H261" s="19">
        <v>2013</v>
      </c>
      <c r="I261" s="2" t="s">
        <v>3</v>
      </c>
    </row>
    <row r="262" spans="2:9" x14ac:dyDescent="0.25">
      <c r="B262" s="2" t="s">
        <v>268</v>
      </c>
      <c r="C262" s="3">
        <v>28</v>
      </c>
      <c r="D262" s="2" t="s">
        <v>867</v>
      </c>
      <c r="E262" s="3">
        <v>2017</v>
      </c>
      <c r="F262" s="2">
        <v>30</v>
      </c>
      <c r="G262" s="3" t="s">
        <v>858</v>
      </c>
      <c r="H262" s="19">
        <v>1948</v>
      </c>
      <c r="I262" s="2" t="s">
        <v>3</v>
      </c>
    </row>
    <row r="263" spans="2:9" x14ac:dyDescent="0.25">
      <c r="B263" s="2" t="s">
        <v>269</v>
      </c>
      <c r="C263" s="3">
        <v>28</v>
      </c>
      <c r="D263" s="2" t="s">
        <v>867</v>
      </c>
      <c r="E263" s="2">
        <v>2017</v>
      </c>
      <c r="F263" s="2">
        <v>23</v>
      </c>
      <c r="G263" s="3" t="s">
        <v>870</v>
      </c>
      <c r="H263" s="19">
        <v>1949</v>
      </c>
      <c r="I263" s="2" t="s">
        <v>2</v>
      </c>
    </row>
    <row r="264" spans="2:9" x14ac:dyDescent="0.25">
      <c r="B264" s="2" t="s">
        <v>270</v>
      </c>
      <c r="C264" s="3">
        <v>28</v>
      </c>
      <c r="D264" s="2" t="s">
        <v>867</v>
      </c>
      <c r="E264" s="2">
        <v>2017</v>
      </c>
      <c r="F264" s="2">
        <v>21</v>
      </c>
      <c r="G264" s="3" t="s">
        <v>869</v>
      </c>
      <c r="H264" s="19">
        <v>2015</v>
      </c>
      <c r="I264" s="2" t="s">
        <v>3</v>
      </c>
    </row>
    <row r="265" spans="2:9" x14ac:dyDescent="0.25">
      <c r="B265" s="2" t="s">
        <v>271</v>
      </c>
      <c r="C265" s="3">
        <v>28</v>
      </c>
      <c r="D265" s="2" t="s">
        <v>867</v>
      </c>
      <c r="E265" s="3">
        <v>2017</v>
      </c>
      <c r="F265" s="2">
        <v>8</v>
      </c>
      <c r="G265" s="3" t="s">
        <v>858</v>
      </c>
      <c r="H265" s="19">
        <v>2014</v>
      </c>
      <c r="I265" s="2" t="s">
        <v>2</v>
      </c>
    </row>
    <row r="266" spans="2:9" x14ac:dyDescent="0.25">
      <c r="B266" s="2" t="s">
        <v>272</v>
      </c>
      <c r="C266" s="3">
        <v>28</v>
      </c>
      <c r="D266" s="2" t="s">
        <v>867</v>
      </c>
      <c r="E266" s="3">
        <v>2017</v>
      </c>
      <c r="F266" s="2">
        <v>24</v>
      </c>
      <c r="G266" s="3" t="s">
        <v>856</v>
      </c>
      <c r="H266" s="19">
        <v>2017</v>
      </c>
      <c r="I266" s="2" t="s">
        <v>2</v>
      </c>
    </row>
    <row r="267" spans="2:9" x14ac:dyDescent="0.25">
      <c r="B267" s="2" t="s">
        <v>273</v>
      </c>
      <c r="C267" s="3">
        <v>28</v>
      </c>
      <c r="D267" s="2" t="s">
        <v>867</v>
      </c>
      <c r="E267" s="3">
        <v>2017</v>
      </c>
      <c r="F267" s="2">
        <v>11</v>
      </c>
      <c r="G267" s="3" t="s">
        <v>867</v>
      </c>
      <c r="H267" s="19">
        <v>2017</v>
      </c>
      <c r="I267" s="2" t="s">
        <v>2</v>
      </c>
    </row>
    <row r="268" spans="2:9" x14ac:dyDescent="0.25">
      <c r="B268" s="2" t="s">
        <v>274</v>
      </c>
      <c r="C268" s="3">
        <v>28</v>
      </c>
      <c r="D268" s="2" t="s">
        <v>867</v>
      </c>
      <c r="E268" s="3">
        <v>2017</v>
      </c>
      <c r="F268" s="2">
        <v>14</v>
      </c>
      <c r="G268" s="3" t="s">
        <v>869</v>
      </c>
      <c r="H268" s="19">
        <v>1953</v>
      </c>
      <c r="I268" s="2" t="s">
        <v>3</v>
      </c>
    </row>
    <row r="269" spans="2:9" x14ac:dyDescent="0.25">
      <c r="B269" s="2" t="s">
        <v>275</v>
      </c>
      <c r="C269" s="3">
        <v>29</v>
      </c>
      <c r="D269" s="2" t="s">
        <v>867</v>
      </c>
      <c r="E269" s="3">
        <v>2017</v>
      </c>
      <c r="F269" s="2">
        <v>4</v>
      </c>
      <c r="G269" s="3" t="s">
        <v>870</v>
      </c>
      <c r="H269" s="19">
        <v>1953</v>
      </c>
      <c r="I269" s="2" t="s">
        <v>3</v>
      </c>
    </row>
    <row r="270" spans="2:9" x14ac:dyDescent="0.25">
      <c r="B270" s="2" t="s">
        <v>276</v>
      </c>
      <c r="C270" s="3">
        <v>29</v>
      </c>
      <c r="D270" s="2" t="s">
        <v>867</v>
      </c>
      <c r="E270" s="3">
        <v>2017</v>
      </c>
      <c r="F270" s="2">
        <v>13</v>
      </c>
      <c r="G270" s="3" t="s">
        <v>861</v>
      </c>
      <c r="H270" s="19">
        <v>2017</v>
      </c>
      <c r="I270" s="2" t="s">
        <v>3</v>
      </c>
    </row>
    <row r="271" spans="2:9" x14ac:dyDescent="0.25">
      <c r="B271" s="2" t="s">
        <v>277</v>
      </c>
      <c r="C271" s="3">
        <v>29</v>
      </c>
      <c r="D271" s="2" t="s">
        <v>867</v>
      </c>
      <c r="E271" s="3">
        <v>2017</v>
      </c>
      <c r="F271" s="2">
        <v>31</v>
      </c>
      <c r="G271" s="3" t="s">
        <v>867</v>
      </c>
      <c r="H271" s="19">
        <v>1972</v>
      </c>
      <c r="I271" s="2" t="s">
        <v>3</v>
      </c>
    </row>
    <row r="272" spans="2:9" x14ac:dyDescent="0.25">
      <c r="B272" s="2" t="s">
        <v>278</v>
      </c>
      <c r="C272" s="3">
        <v>29</v>
      </c>
      <c r="D272" s="2" t="s">
        <v>867</v>
      </c>
      <c r="E272" s="3">
        <v>2017</v>
      </c>
      <c r="F272" s="2">
        <v>8</v>
      </c>
      <c r="G272" s="3" t="s">
        <v>858</v>
      </c>
      <c r="H272" s="19">
        <v>1986</v>
      </c>
      <c r="I272" s="2" t="s">
        <v>2</v>
      </c>
    </row>
    <row r="273" spans="2:11" x14ac:dyDescent="0.25">
      <c r="B273" s="2" t="s">
        <v>279</v>
      </c>
      <c r="C273" s="3">
        <v>30</v>
      </c>
      <c r="D273" s="2" t="s">
        <v>867</v>
      </c>
      <c r="E273" s="2">
        <v>2017</v>
      </c>
      <c r="F273" s="2">
        <v>30</v>
      </c>
      <c r="G273" s="3" t="s">
        <v>866</v>
      </c>
      <c r="H273" s="19">
        <v>1986</v>
      </c>
      <c r="I273" s="2" t="s">
        <v>2</v>
      </c>
    </row>
    <row r="274" spans="2:11" x14ac:dyDescent="0.25">
      <c r="B274" s="2" t="s">
        <v>280</v>
      </c>
      <c r="C274" s="3">
        <v>30</v>
      </c>
      <c r="D274" s="2" t="s">
        <v>867</v>
      </c>
      <c r="E274" s="2">
        <v>2017</v>
      </c>
      <c r="F274" s="2">
        <v>8</v>
      </c>
      <c r="G274" s="3" t="s">
        <v>869</v>
      </c>
      <c r="H274" s="19">
        <v>1976</v>
      </c>
      <c r="I274" s="2" t="s">
        <v>2</v>
      </c>
    </row>
    <row r="275" spans="2:11" x14ac:dyDescent="0.25">
      <c r="B275" s="2" t="s">
        <v>281</v>
      </c>
      <c r="C275" s="3">
        <v>30</v>
      </c>
      <c r="D275" s="2" t="s">
        <v>867</v>
      </c>
      <c r="E275" s="2">
        <v>2017</v>
      </c>
      <c r="F275" s="2">
        <v>29</v>
      </c>
      <c r="G275" s="3" t="s">
        <v>858</v>
      </c>
      <c r="H275" s="19">
        <v>2001</v>
      </c>
      <c r="I275" s="2" t="s">
        <v>2</v>
      </c>
    </row>
    <row r="276" spans="2:11" x14ac:dyDescent="0.25">
      <c r="B276" s="2" t="s">
        <v>282</v>
      </c>
      <c r="C276" s="3">
        <v>31</v>
      </c>
      <c r="D276" s="2" t="s">
        <v>867</v>
      </c>
      <c r="E276" s="2">
        <v>2017</v>
      </c>
      <c r="F276" s="2">
        <v>11</v>
      </c>
      <c r="G276" s="3" t="s">
        <v>858</v>
      </c>
      <c r="H276" s="19">
        <v>2017</v>
      </c>
      <c r="I276" s="2" t="s">
        <v>2</v>
      </c>
    </row>
    <row r="277" spans="2:11" x14ac:dyDescent="0.25">
      <c r="B277" s="2" t="s">
        <v>283</v>
      </c>
      <c r="C277" s="3">
        <v>3</v>
      </c>
      <c r="D277" s="2" t="s">
        <v>865</v>
      </c>
      <c r="E277" s="2">
        <v>2017</v>
      </c>
      <c r="F277" s="2">
        <v>12</v>
      </c>
      <c r="G277" s="2" t="s">
        <v>857</v>
      </c>
      <c r="H277" s="2">
        <v>2016</v>
      </c>
      <c r="I277" s="2" t="s">
        <v>2</v>
      </c>
    </row>
    <row r="278" spans="2:11" x14ac:dyDescent="0.25">
      <c r="B278" s="2" t="s">
        <v>284</v>
      </c>
      <c r="C278" s="3">
        <v>3</v>
      </c>
      <c r="D278" s="3" t="s">
        <v>865</v>
      </c>
      <c r="E278" s="2">
        <v>2017</v>
      </c>
      <c r="F278" s="2">
        <v>9</v>
      </c>
      <c r="G278" s="2" t="s">
        <v>857</v>
      </c>
      <c r="H278" s="2">
        <v>2013</v>
      </c>
      <c r="I278" s="2" t="s">
        <v>2</v>
      </c>
    </row>
    <row r="279" spans="2:11" x14ac:dyDescent="0.25">
      <c r="B279" s="2" t="s">
        <v>285</v>
      </c>
      <c r="C279" s="3">
        <v>3</v>
      </c>
      <c r="D279" s="3" t="s">
        <v>865</v>
      </c>
      <c r="E279" s="3">
        <v>2017</v>
      </c>
      <c r="F279" s="3">
        <v>19</v>
      </c>
      <c r="G279" s="3" t="s">
        <v>870</v>
      </c>
      <c r="H279" s="3">
        <v>2016</v>
      </c>
      <c r="I279" s="2" t="s">
        <v>2</v>
      </c>
      <c r="K279" s="27"/>
    </row>
    <row r="280" spans="2:11" x14ac:dyDescent="0.25">
      <c r="B280" s="2" t="s">
        <v>286</v>
      </c>
      <c r="C280" s="3">
        <v>4</v>
      </c>
      <c r="D280" s="3" t="s">
        <v>865</v>
      </c>
      <c r="E280" s="3">
        <v>2017</v>
      </c>
      <c r="F280" s="3">
        <v>20</v>
      </c>
      <c r="G280" s="3" t="s">
        <v>861</v>
      </c>
      <c r="H280" s="3">
        <v>2017</v>
      </c>
      <c r="I280" s="2" t="s">
        <v>3</v>
      </c>
      <c r="K280" s="27"/>
    </row>
    <row r="281" spans="2:11" x14ac:dyDescent="0.25">
      <c r="B281" s="2" t="s">
        <v>287</v>
      </c>
      <c r="C281" s="3">
        <v>4</v>
      </c>
      <c r="D281" s="3" t="s">
        <v>865</v>
      </c>
      <c r="E281" s="3">
        <v>2017</v>
      </c>
      <c r="F281" s="3">
        <v>24</v>
      </c>
      <c r="G281" s="3" t="s">
        <v>870</v>
      </c>
      <c r="H281" s="3">
        <v>2014</v>
      </c>
      <c r="I281" s="2" t="s">
        <v>3</v>
      </c>
      <c r="K281" s="27"/>
    </row>
    <row r="282" spans="2:11" x14ac:dyDescent="0.25">
      <c r="B282" s="2" t="s">
        <v>288</v>
      </c>
      <c r="C282" s="3">
        <v>4</v>
      </c>
      <c r="D282" s="3" t="s">
        <v>865</v>
      </c>
      <c r="E282" s="3">
        <v>2017</v>
      </c>
      <c r="F282" s="3">
        <v>16</v>
      </c>
      <c r="G282" s="3" t="s">
        <v>857</v>
      </c>
      <c r="H282" s="3">
        <v>2016</v>
      </c>
      <c r="I282" s="2" t="s">
        <v>3</v>
      </c>
      <c r="K282" s="27"/>
    </row>
    <row r="283" spans="2:11" x14ac:dyDescent="0.25">
      <c r="B283" s="2" t="s">
        <v>289</v>
      </c>
      <c r="C283" s="3">
        <v>5</v>
      </c>
      <c r="D283" s="3" t="s">
        <v>865</v>
      </c>
      <c r="E283" s="3">
        <v>2017</v>
      </c>
      <c r="F283" s="3">
        <v>28</v>
      </c>
      <c r="G283" s="3" t="s">
        <v>857</v>
      </c>
      <c r="H283" s="3">
        <v>2016</v>
      </c>
      <c r="I283" s="2" t="s">
        <v>3</v>
      </c>
      <c r="K283" s="27"/>
    </row>
    <row r="284" spans="2:11" x14ac:dyDescent="0.25">
      <c r="B284" s="2" t="s">
        <v>290</v>
      </c>
      <c r="C284" s="3">
        <v>6</v>
      </c>
      <c r="D284" s="3" t="s">
        <v>865</v>
      </c>
      <c r="E284" s="3">
        <v>2017</v>
      </c>
      <c r="F284" s="3">
        <v>22</v>
      </c>
      <c r="G284" s="3" t="s">
        <v>858</v>
      </c>
      <c r="H284" s="3">
        <v>2003</v>
      </c>
      <c r="I284" s="2" t="s">
        <v>3</v>
      </c>
      <c r="K284" s="27"/>
    </row>
    <row r="285" spans="2:11" x14ac:dyDescent="0.25">
      <c r="B285" s="2" t="s">
        <v>291</v>
      </c>
      <c r="C285" s="3">
        <v>10</v>
      </c>
      <c r="D285" s="3" t="s">
        <v>865</v>
      </c>
      <c r="E285" s="3">
        <v>2017</v>
      </c>
      <c r="F285" s="3">
        <v>28</v>
      </c>
      <c r="G285" s="3" t="s">
        <v>867</v>
      </c>
      <c r="H285" s="3">
        <v>2017</v>
      </c>
      <c r="I285" s="2" t="s">
        <v>3</v>
      </c>
      <c r="K285" s="27"/>
    </row>
    <row r="286" spans="2:11" x14ac:dyDescent="0.25">
      <c r="B286" s="2" t="s">
        <v>292</v>
      </c>
      <c r="C286" s="3">
        <v>10</v>
      </c>
      <c r="D286" s="3" t="s">
        <v>865</v>
      </c>
      <c r="E286" s="3">
        <v>2017</v>
      </c>
      <c r="F286" s="3">
        <v>11</v>
      </c>
      <c r="G286" s="3" t="s">
        <v>867</v>
      </c>
      <c r="H286" s="3">
        <v>2017</v>
      </c>
      <c r="I286" s="2" t="s">
        <v>3</v>
      </c>
      <c r="K286" s="27"/>
    </row>
    <row r="287" spans="2:11" x14ac:dyDescent="0.25">
      <c r="B287" s="2" t="s">
        <v>293</v>
      </c>
      <c r="C287" s="3">
        <v>10</v>
      </c>
      <c r="D287" s="3" t="s">
        <v>865</v>
      </c>
      <c r="E287" s="2">
        <v>2017</v>
      </c>
      <c r="F287" s="3">
        <v>14</v>
      </c>
      <c r="G287" s="3" t="s">
        <v>869</v>
      </c>
      <c r="H287" s="3">
        <v>2014</v>
      </c>
      <c r="I287" s="2" t="s">
        <v>3</v>
      </c>
      <c r="K287" s="27"/>
    </row>
    <row r="288" spans="2:11" x14ac:dyDescent="0.25">
      <c r="B288" s="2" t="s">
        <v>294</v>
      </c>
      <c r="C288" s="3">
        <v>10</v>
      </c>
      <c r="D288" s="3" t="s">
        <v>865</v>
      </c>
      <c r="E288" s="2">
        <v>2017</v>
      </c>
      <c r="F288" s="3">
        <v>24</v>
      </c>
      <c r="G288" s="3" t="s">
        <v>856</v>
      </c>
      <c r="H288" s="3">
        <v>2017</v>
      </c>
      <c r="I288" s="2" t="s">
        <v>3</v>
      </c>
      <c r="K288" s="27"/>
    </row>
    <row r="289" spans="2:11" x14ac:dyDescent="0.25">
      <c r="B289" s="2" t="s">
        <v>295</v>
      </c>
      <c r="C289" s="3">
        <v>10</v>
      </c>
      <c r="D289" s="3" t="s">
        <v>865</v>
      </c>
      <c r="E289" s="2">
        <v>2017</v>
      </c>
      <c r="F289" s="3">
        <v>28</v>
      </c>
      <c r="G289" s="3" t="s">
        <v>861</v>
      </c>
      <c r="H289" s="3">
        <v>2017</v>
      </c>
      <c r="I289" s="2" t="s">
        <v>3</v>
      </c>
      <c r="K289" s="27"/>
    </row>
    <row r="290" spans="2:11" x14ac:dyDescent="0.25">
      <c r="B290" s="2" t="s">
        <v>296</v>
      </c>
      <c r="C290" s="3">
        <v>11</v>
      </c>
      <c r="D290" s="3" t="s">
        <v>865</v>
      </c>
      <c r="E290" s="2">
        <v>2017</v>
      </c>
      <c r="F290" s="3">
        <v>1</v>
      </c>
      <c r="G290" s="3" t="s">
        <v>861</v>
      </c>
      <c r="H290" s="3">
        <v>2017</v>
      </c>
      <c r="I290" s="2" t="s">
        <v>3</v>
      </c>
      <c r="K290" s="27"/>
    </row>
    <row r="291" spans="2:11" x14ac:dyDescent="0.25">
      <c r="B291" s="2" t="s">
        <v>297</v>
      </c>
      <c r="C291" s="3">
        <v>11</v>
      </c>
      <c r="D291" s="3" t="s">
        <v>865</v>
      </c>
      <c r="E291" s="2">
        <v>2017</v>
      </c>
      <c r="F291" s="3">
        <v>10</v>
      </c>
      <c r="G291" s="3" t="s">
        <v>856</v>
      </c>
      <c r="H291" s="3">
        <v>2017</v>
      </c>
      <c r="I291" s="2" t="s">
        <v>3</v>
      </c>
      <c r="K291" s="27"/>
    </row>
    <row r="292" spans="2:11" x14ac:dyDescent="0.25">
      <c r="B292" s="2" t="s">
        <v>298</v>
      </c>
      <c r="C292" s="3">
        <v>17</v>
      </c>
      <c r="D292" s="3" t="s">
        <v>865</v>
      </c>
      <c r="E292" s="2">
        <v>2017</v>
      </c>
      <c r="F292" s="3">
        <v>19</v>
      </c>
      <c r="G292" s="3" t="s">
        <v>857</v>
      </c>
      <c r="H292" s="3">
        <v>2016</v>
      </c>
      <c r="I292" s="2" t="s">
        <v>2</v>
      </c>
      <c r="K292" s="27"/>
    </row>
    <row r="293" spans="2:11" x14ac:dyDescent="0.25">
      <c r="B293" s="2" t="s">
        <v>299</v>
      </c>
      <c r="C293" s="3">
        <v>17</v>
      </c>
      <c r="D293" s="3" t="s">
        <v>865</v>
      </c>
      <c r="E293" s="3">
        <v>2017</v>
      </c>
      <c r="F293" s="3">
        <v>4</v>
      </c>
      <c r="G293" s="3" t="s">
        <v>861</v>
      </c>
      <c r="H293" s="3">
        <v>2016</v>
      </c>
      <c r="I293" s="2" t="s">
        <v>3</v>
      </c>
      <c r="K293" s="27"/>
    </row>
    <row r="294" spans="2:11" x14ac:dyDescent="0.25">
      <c r="B294" s="2" t="s">
        <v>300</v>
      </c>
      <c r="C294" s="3">
        <v>18</v>
      </c>
      <c r="D294" s="3" t="s">
        <v>865</v>
      </c>
      <c r="E294" s="3">
        <v>2017</v>
      </c>
      <c r="F294" s="3">
        <v>28</v>
      </c>
      <c r="G294" s="3" t="s">
        <v>867</v>
      </c>
      <c r="H294" s="3">
        <v>2017</v>
      </c>
      <c r="I294" s="2" t="s">
        <v>2</v>
      </c>
      <c r="K294" s="27"/>
    </row>
    <row r="295" spans="2:11" x14ac:dyDescent="0.25">
      <c r="B295" s="2" t="s">
        <v>301</v>
      </c>
      <c r="C295" s="3">
        <v>18</v>
      </c>
      <c r="D295" s="3" t="s">
        <v>865</v>
      </c>
      <c r="E295" s="3">
        <v>2017</v>
      </c>
      <c r="F295" s="3">
        <v>18</v>
      </c>
      <c r="G295" s="3" t="s">
        <v>861</v>
      </c>
      <c r="H295" s="3">
        <v>2017</v>
      </c>
      <c r="I295" s="2" t="s">
        <v>2</v>
      </c>
      <c r="K295" s="27"/>
    </row>
    <row r="296" spans="2:11" x14ac:dyDescent="0.25">
      <c r="B296" s="2" t="s">
        <v>302</v>
      </c>
      <c r="C296" s="3">
        <v>18</v>
      </c>
      <c r="D296" s="3" t="s">
        <v>865</v>
      </c>
      <c r="E296" s="3">
        <v>2017</v>
      </c>
      <c r="F296" s="3">
        <v>21</v>
      </c>
      <c r="G296" s="3" t="s">
        <v>868</v>
      </c>
      <c r="H296" s="3">
        <v>1970</v>
      </c>
      <c r="I296" s="2" t="s">
        <v>2</v>
      </c>
      <c r="K296" s="27"/>
    </row>
    <row r="297" spans="2:11" x14ac:dyDescent="0.25">
      <c r="B297" s="2" t="s">
        <v>303</v>
      </c>
      <c r="C297" s="3">
        <v>19</v>
      </c>
      <c r="D297" s="3" t="s">
        <v>865</v>
      </c>
      <c r="E297" s="3">
        <v>2017</v>
      </c>
      <c r="F297" s="3">
        <v>9</v>
      </c>
      <c r="G297" s="3" t="s">
        <v>863</v>
      </c>
      <c r="H297" s="3">
        <v>2004</v>
      </c>
      <c r="I297" s="2" t="s">
        <v>3</v>
      </c>
      <c r="K297" s="27"/>
    </row>
    <row r="298" spans="2:11" x14ac:dyDescent="0.25">
      <c r="B298" s="2" t="s">
        <v>304</v>
      </c>
      <c r="C298" s="3">
        <v>19</v>
      </c>
      <c r="D298" s="3" t="s">
        <v>865</v>
      </c>
      <c r="E298" s="3">
        <v>2017</v>
      </c>
      <c r="F298" s="3">
        <v>12</v>
      </c>
      <c r="G298" s="3" t="s">
        <v>865</v>
      </c>
      <c r="H298" s="3">
        <v>2017</v>
      </c>
      <c r="I298" s="2" t="s">
        <v>2</v>
      </c>
      <c r="K298" s="27"/>
    </row>
    <row r="299" spans="2:11" x14ac:dyDescent="0.25">
      <c r="B299" s="2" t="s">
        <v>305</v>
      </c>
      <c r="C299" s="3">
        <v>19</v>
      </c>
      <c r="D299" s="3" t="s">
        <v>865</v>
      </c>
      <c r="E299" s="3">
        <v>2017</v>
      </c>
      <c r="F299" s="3">
        <v>13</v>
      </c>
      <c r="G299" s="3" t="s">
        <v>861</v>
      </c>
      <c r="H299" s="3">
        <v>2017</v>
      </c>
      <c r="I299" s="2" t="s">
        <v>3</v>
      </c>
      <c r="K299" s="27"/>
    </row>
    <row r="300" spans="2:11" x14ac:dyDescent="0.25">
      <c r="B300" s="2" t="s">
        <v>306</v>
      </c>
      <c r="C300" s="3">
        <v>19</v>
      </c>
      <c r="D300" s="3" t="s">
        <v>865</v>
      </c>
      <c r="E300" s="3">
        <v>2017</v>
      </c>
      <c r="F300" s="3">
        <v>8</v>
      </c>
      <c r="G300" s="3" t="s">
        <v>868</v>
      </c>
      <c r="H300" s="3">
        <v>2016</v>
      </c>
      <c r="I300" s="2" t="s">
        <v>3</v>
      </c>
      <c r="K300" s="27"/>
    </row>
    <row r="301" spans="2:11" x14ac:dyDescent="0.25">
      <c r="B301" s="2" t="s">
        <v>307</v>
      </c>
      <c r="C301" s="3">
        <v>20</v>
      </c>
      <c r="D301" s="3" t="s">
        <v>865</v>
      </c>
      <c r="E301" s="2">
        <v>2017</v>
      </c>
      <c r="F301" s="3">
        <v>12</v>
      </c>
      <c r="G301" s="3" t="s">
        <v>856</v>
      </c>
      <c r="H301" s="3">
        <v>2017</v>
      </c>
      <c r="I301" s="2" t="s">
        <v>3</v>
      </c>
      <c r="K301" s="27"/>
    </row>
    <row r="302" spans="2:11" x14ac:dyDescent="0.25">
      <c r="B302" s="2" t="s">
        <v>308</v>
      </c>
      <c r="C302" s="3">
        <v>20</v>
      </c>
      <c r="D302" s="3" t="s">
        <v>865</v>
      </c>
      <c r="E302" s="2">
        <v>2017</v>
      </c>
      <c r="F302" s="3">
        <v>6</v>
      </c>
      <c r="G302" s="3" t="s">
        <v>870</v>
      </c>
      <c r="H302" s="3">
        <v>2015</v>
      </c>
      <c r="I302" s="2" t="s">
        <v>3</v>
      </c>
      <c r="K302" s="27"/>
    </row>
    <row r="303" spans="2:11" x14ac:dyDescent="0.25">
      <c r="B303" s="2" t="s">
        <v>309</v>
      </c>
      <c r="C303" s="3">
        <v>20</v>
      </c>
      <c r="D303" s="3" t="s">
        <v>865</v>
      </c>
      <c r="E303" s="2">
        <v>2017</v>
      </c>
      <c r="F303" s="3">
        <v>6</v>
      </c>
      <c r="G303" s="3" t="s">
        <v>865</v>
      </c>
      <c r="H303" s="3">
        <v>2017</v>
      </c>
      <c r="I303" s="2" t="s">
        <v>3</v>
      </c>
      <c r="K303" s="27"/>
    </row>
    <row r="304" spans="2:11" x14ac:dyDescent="0.25">
      <c r="B304" s="2" t="s">
        <v>310</v>
      </c>
      <c r="C304" s="3">
        <v>20</v>
      </c>
      <c r="D304" s="3" t="s">
        <v>865</v>
      </c>
      <c r="E304" s="2">
        <v>2017</v>
      </c>
      <c r="F304" s="3">
        <v>13</v>
      </c>
      <c r="G304" s="3" t="s">
        <v>864</v>
      </c>
      <c r="H304" s="3">
        <v>2016</v>
      </c>
      <c r="I304" s="2" t="s">
        <v>2</v>
      </c>
      <c r="K304" s="27"/>
    </row>
    <row r="305" spans="2:11" x14ac:dyDescent="0.25">
      <c r="B305" s="2" t="s">
        <v>311</v>
      </c>
      <c r="C305" s="3">
        <v>21</v>
      </c>
      <c r="D305" s="3" t="s">
        <v>865</v>
      </c>
      <c r="E305" s="2">
        <v>2017</v>
      </c>
      <c r="F305" s="3">
        <v>23</v>
      </c>
      <c r="G305" s="3" t="s">
        <v>867</v>
      </c>
      <c r="H305" s="3">
        <v>2017</v>
      </c>
      <c r="I305" s="2" t="s">
        <v>2</v>
      </c>
      <c r="K305" s="27"/>
    </row>
    <row r="306" spans="2:11" x14ac:dyDescent="0.25">
      <c r="B306" s="2" t="s">
        <v>312</v>
      </c>
      <c r="C306" s="3">
        <v>24</v>
      </c>
      <c r="D306" s="3" t="s">
        <v>865</v>
      </c>
      <c r="E306" s="2">
        <v>2017</v>
      </c>
      <c r="F306" s="3">
        <v>19</v>
      </c>
      <c r="G306" s="3" t="s">
        <v>865</v>
      </c>
      <c r="H306" s="3">
        <v>2017</v>
      </c>
      <c r="I306" s="2" t="s">
        <v>3</v>
      </c>
      <c r="K306" s="27"/>
    </row>
    <row r="307" spans="2:11" x14ac:dyDescent="0.25">
      <c r="B307" s="2" t="s">
        <v>313</v>
      </c>
      <c r="C307" s="3">
        <v>25</v>
      </c>
      <c r="D307" s="3" t="s">
        <v>865</v>
      </c>
      <c r="E307" s="3">
        <v>2017</v>
      </c>
      <c r="F307" s="3">
        <v>5</v>
      </c>
      <c r="G307" s="3" t="s">
        <v>865</v>
      </c>
      <c r="H307" s="3">
        <v>2017</v>
      </c>
      <c r="I307" s="2" t="s">
        <v>2</v>
      </c>
      <c r="K307" s="27"/>
    </row>
    <row r="308" spans="2:11" x14ac:dyDescent="0.25">
      <c r="B308" s="2" t="s">
        <v>314</v>
      </c>
      <c r="C308" s="3">
        <v>25</v>
      </c>
      <c r="D308" s="3" t="s">
        <v>865</v>
      </c>
      <c r="E308" s="3">
        <v>2017</v>
      </c>
      <c r="F308" s="3">
        <v>8</v>
      </c>
      <c r="G308" s="3" t="s">
        <v>856</v>
      </c>
      <c r="H308" s="3">
        <v>1955</v>
      </c>
      <c r="I308" s="2" t="s">
        <v>3</v>
      </c>
      <c r="K308" s="27"/>
    </row>
    <row r="309" spans="2:11" x14ac:dyDescent="0.25">
      <c r="B309" s="2" t="s">
        <v>315</v>
      </c>
      <c r="C309" s="3">
        <v>26</v>
      </c>
      <c r="D309" s="3" t="s">
        <v>865</v>
      </c>
      <c r="E309" s="3">
        <v>2017</v>
      </c>
      <c r="F309" s="3">
        <v>19</v>
      </c>
      <c r="G309" s="3" t="s">
        <v>865</v>
      </c>
      <c r="H309" s="3">
        <v>1937</v>
      </c>
      <c r="I309" s="2" t="s">
        <v>3</v>
      </c>
      <c r="K309" s="27"/>
    </row>
    <row r="310" spans="2:11" x14ac:dyDescent="0.25">
      <c r="B310" s="2" t="s">
        <v>316</v>
      </c>
      <c r="C310" s="3">
        <v>27</v>
      </c>
      <c r="D310" s="3" t="s">
        <v>865</v>
      </c>
      <c r="E310" s="3">
        <v>2017</v>
      </c>
      <c r="F310" s="3">
        <v>1</v>
      </c>
      <c r="G310" s="3" t="s">
        <v>870</v>
      </c>
      <c r="H310" s="3">
        <v>1954</v>
      </c>
      <c r="I310" s="2" t="s">
        <v>2</v>
      </c>
      <c r="K310" s="27"/>
    </row>
    <row r="311" spans="2:11" x14ac:dyDescent="0.25">
      <c r="B311" s="2" t="s">
        <v>317</v>
      </c>
      <c r="C311" s="3">
        <v>27</v>
      </c>
      <c r="D311" s="3" t="s">
        <v>865</v>
      </c>
      <c r="E311" s="3">
        <v>2017</v>
      </c>
      <c r="F311" s="3">
        <v>22</v>
      </c>
      <c r="G311" s="3" t="s">
        <v>868</v>
      </c>
      <c r="H311" s="3">
        <v>1990</v>
      </c>
      <c r="I311" s="2" t="s">
        <v>3</v>
      </c>
      <c r="K311" s="27"/>
    </row>
    <row r="312" spans="2:11" x14ac:dyDescent="0.25">
      <c r="B312" s="2" t="s">
        <v>318</v>
      </c>
      <c r="C312" s="3">
        <v>28</v>
      </c>
      <c r="D312" s="3" t="s">
        <v>865</v>
      </c>
      <c r="E312" s="3">
        <v>2017</v>
      </c>
      <c r="F312" s="3">
        <v>21</v>
      </c>
      <c r="G312" s="3" t="s">
        <v>865</v>
      </c>
      <c r="H312" s="3">
        <v>2017</v>
      </c>
      <c r="I312" s="2" t="s">
        <v>2</v>
      </c>
      <c r="K312" s="27"/>
    </row>
    <row r="313" spans="2:11" x14ac:dyDescent="0.25">
      <c r="B313" s="2" t="s">
        <v>319</v>
      </c>
      <c r="C313" s="3">
        <v>28</v>
      </c>
      <c r="D313" s="3" t="s">
        <v>865</v>
      </c>
      <c r="E313" s="3">
        <v>2017</v>
      </c>
      <c r="F313" s="3">
        <v>8</v>
      </c>
      <c r="G313" s="3" t="s">
        <v>863</v>
      </c>
      <c r="H313" s="3">
        <v>2015</v>
      </c>
      <c r="I313" s="2" t="s">
        <v>3</v>
      </c>
      <c r="K313" s="27"/>
    </row>
    <row r="314" spans="2:11" x14ac:dyDescent="0.25">
      <c r="B314" s="2" t="s">
        <v>320</v>
      </c>
      <c r="C314" s="3">
        <v>28</v>
      </c>
      <c r="D314" s="3" t="s">
        <v>865</v>
      </c>
      <c r="E314" s="3">
        <v>2017</v>
      </c>
      <c r="F314" s="3">
        <v>14</v>
      </c>
      <c r="G314" s="3" t="s">
        <v>866</v>
      </c>
      <c r="H314" s="3">
        <v>2015</v>
      </c>
      <c r="I314" s="2" t="s">
        <v>3</v>
      </c>
      <c r="K314" s="27"/>
    </row>
    <row r="315" spans="2:11" x14ac:dyDescent="0.25">
      <c r="B315" s="2" t="s">
        <v>321</v>
      </c>
      <c r="C315" s="3">
        <v>28</v>
      </c>
      <c r="D315" s="3" t="s">
        <v>865</v>
      </c>
      <c r="E315" s="2">
        <v>2017</v>
      </c>
      <c r="F315" s="3">
        <v>2</v>
      </c>
      <c r="G315" s="3" t="s">
        <v>869</v>
      </c>
      <c r="H315" s="3">
        <v>2016</v>
      </c>
      <c r="I315" s="2" t="s">
        <v>2</v>
      </c>
      <c r="K315" s="27"/>
    </row>
    <row r="316" spans="2:11" x14ac:dyDescent="0.25">
      <c r="B316" s="2" t="s">
        <v>322</v>
      </c>
      <c r="C316" s="3">
        <v>28</v>
      </c>
      <c r="D316" s="3" t="s">
        <v>865</v>
      </c>
      <c r="E316" s="2">
        <v>2017</v>
      </c>
      <c r="F316" s="3">
        <v>26</v>
      </c>
      <c r="G316" s="3" t="s">
        <v>857</v>
      </c>
      <c r="H316" s="3">
        <v>2014</v>
      </c>
      <c r="I316" s="2" t="s">
        <v>3</v>
      </c>
      <c r="K316" s="27"/>
    </row>
    <row r="317" spans="2:11" x14ac:dyDescent="0.25">
      <c r="B317" s="2" t="s">
        <v>323</v>
      </c>
      <c r="C317" s="3">
        <v>28</v>
      </c>
      <c r="D317" s="3" t="s">
        <v>865</v>
      </c>
      <c r="E317" s="2">
        <v>2017</v>
      </c>
      <c r="F317" s="3">
        <v>17</v>
      </c>
      <c r="G317" s="3" t="s">
        <v>870</v>
      </c>
      <c r="H317" s="3">
        <v>2012</v>
      </c>
      <c r="I317" s="2" t="s">
        <v>3</v>
      </c>
      <c r="K317" s="27"/>
    </row>
    <row r="318" spans="2:11" x14ac:dyDescent="0.25">
      <c r="B318" s="2" t="s">
        <v>324</v>
      </c>
      <c r="C318" s="3">
        <v>28</v>
      </c>
      <c r="D318" s="3" t="s">
        <v>865</v>
      </c>
      <c r="E318" s="2">
        <v>2017</v>
      </c>
      <c r="F318" s="3">
        <v>17</v>
      </c>
      <c r="G318" s="3" t="s">
        <v>866</v>
      </c>
      <c r="H318" s="3">
        <v>2016</v>
      </c>
      <c r="I318" s="2" t="s">
        <v>2</v>
      </c>
      <c r="K318" s="27"/>
    </row>
    <row r="319" spans="2:11" x14ac:dyDescent="0.25">
      <c r="B319" s="2" t="s">
        <v>325</v>
      </c>
      <c r="C319" s="3">
        <v>28</v>
      </c>
      <c r="D319" s="3" t="s">
        <v>865</v>
      </c>
      <c r="E319" s="2">
        <v>2017</v>
      </c>
      <c r="F319" s="3">
        <v>4</v>
      </c>
      <c r="G319" s="3" t="s">
        <v>867</v>
      </c>
      <c r="H319" s="3">
        <v>2017</v>
      </c>
      <c r="I319" s="2" t="s">
        <v>2</v>
      </c>
      <c r="K319" s="27"/>
    </row>
    <row r="320" spans="2:11" x14ac:dyDescent="0.25">
      <c r="B320" s="2" t="s">
        <v>326</v>
      </c>
      <c r="C320" s="3">
        <v>28</v>
      </c>
      <c r="D320" s="3" t="s">
        <v>865</v>
      </c>
      <c r="E320" s="2">
        <v>2017</v>
      </c>
      <c r="F320" s="3">
        <v>19</v>
      </c>
      <c r="G320" s="3" t="s">
        <v>865</v>
      </c>
      <c r="H320" s="3">
        <v>2017</v>
      </c>
      <c r="I320" s="2" t="s">
        <v>3</v>
      </c>
      <c r="K320" s="27"/>
    </row>
    <row r="321" spans="2:9" x14ac:dyDescent="0.25">
      <c r="B321" s="2" t="s">
        <v>327</v>
      </c>
      <c r="C321" s="3">
        <v>28</v>
      </c>
      <c r="D321" s="3" t="s">
        <v>865</v>
      </c>
      <c r="E321" s="3">
        <v>2017</v>
      </c>
      <c r="F321" s="3">
        <v>22</v>
      </c>
      <c r="G321" s="3" t="s">
        <v>865</v>
      </c>
      <c r="H321" s="19">
        <v>2017</v>
      </c>
      <c r="I321" s="2" t="s">
        <v>2</v>
      </c>
    </row>
    <row r="322" spans="2:9" x14ac:dyDescent="0.25">
      <c r="B322" s="2" t="s">
        <v>328</v>
      </c>
      <c r="C322" s="3">
        <v>28</v>
      </c>
      <c r="D322" s="3" t="s">
        <v>865</v>
      </c>
      <c r="E322" s="3">
        <v>2017</v>
      </c>
      <c r="F322" s="3">
        <v>28</v>
      </c>
      <c r="G322" s="3" t="s">
        <v>857</v>
      </c>
      <c r="H322" s="19">
        <v>2016</v>
      </c>
      <c r="I322" s="2" t="s">
        <v>2</v>
      </c>
    </row>
    <row r="323" spans="2:9" x14ac:dyDescent="0.25">
      <c r="B323" s="2" t="s">
        <v>329</v>
      </c>
      <c r="C323" s="3">
        <v>28</v>
      </c>
      <c r="D323" s="3" t="s">
        <v>865</v>
      </c>
      <c r="E323" s="3">
        <v>2017</v>
      </c>
      <c r="F323" s="3">
        <v>28</v>
      </c>
      <c r="G323" s="3" t="s">
        <v>856</v>
      </c>
      <c r="H323" s="19">
        <v>2017</v>
      </c>
      <c r="I323" s="2" t="s">
        <v>3</v>
      </c>
    </row>
    <row r="324" spans="2:9" x14ac:dyDescent="0.25">
      <c r="B324" s="2" t="s">
        <v>330</v>
      </c>
      <c r="C324" s="3">
        <v>28</v>
      </c>
      <c r="D324" s="3" t="s">
        <v>865</v>
      </c>
      <c r="E324" s="3">
        <v>2017</v>
      </c>
      <c r="F324" s="3">
        <v>23</v>
      </c>
      <c r="G324" s="3" t="s">
        <v>865</v>
      </c>
      <c r="H324" s="19">
        <v>2015</v>
      </c>
      <c r="I324" s="2" t="s">
        <v>2</v>
      </c>
    </row>
    <row r="325" spans="2:9" x14ac:dyDescent="0.25">
      <c r="B325" s="2" t="s">
        <v>331</v>
      </c>
      <c r="C325" s="3">
        <v>28</v>
      </c>
      <c r="D325" s="3" t="s">
        <v>865</v>
      </c>
      <c r="E325" s="3">
        <v>2017</v>
      </c>
      <c r="F325" s="3">
        <v>6</v>
      </c>
      <c r="G325" s="3" t="s">
        <v>861</v>
      </c>
      <c r="H325" s="19">
        <v>2016</v>
      </c>
      <c r="I325" s="2" t="s">
        <v>2</v>
      </c>
    </row>
    <row r="326" spans="2:9" x14ac:dyDescent="0.25">
      <c r="B326" s="2" t="s">
        <v>332</v>
      </c>
      <c r="C326" s="3">
        <v>28</v>
      </c>
      <c r="D326" s="3" t="s">
        <v>865</v>
      </c>
      <c r="E326" s="3">
        <v>2017</v>
      </c>
      <c r="F326" s="3">
        <v>20</v>
      </c>
      <c r="G326" s="3" t="s">
        <v>856</v>
      </c>
      <c r="H326" s="19">
        <v>2016</v>
      </c>
      <c r="I326" s="2" t="s">
        <v>2</v>
      </c>
    </row>
    <row r="327" spans="2:9" x14ac:dyDescent="0.25">
      <c r="B327" s="2" t="s">
        <v>333</v>
      </c>
      <c r="C327" s="3">
        <v>28</v>
      </c>
      <c r="D327" s="3" t="s">
        <v>865</v>
      </c>
      <c r="E327" s="3">
        <v>2017</v>
      </c>
      <c r="F327" s="3">
        <v>9</v>
      </c>
      <c r="G327" s="3" t="s">
        <v>861</v>
      </c>
      <c r="H327" s="19">
        <v>2012</v>
      </c>
      <c r="I327" s="2" t="s">
        <v>2</v>
      </c>
    </row>
    <row r="328" spans="2:9" x14ac:dyDescent="0.25">
      <c r="B328" s="2" t="s">
        <v>334</v>
      </c>
      <c r="C328" s="3">
        <v>28</v>
      </c>
      <c r="D328" s="3" t="s">
        <v>865</v>
      </c>
      <c r="E328" s="3">
        <v>2017</v>
      </c>
      <c r="F328" s="3">
        <v>3</v>
      </c>
      <c r="G328" s="3" t="s">
        <v>857</v>
      </c>
      <c r="H328" s="19">
        <v>2016</v>
      </c>
      <c r="I328" s="2" t="s">
        <v>3</v>
      </c>
    </row>
    <row r="329" spans="2:9" x14ac:dyDescent="0.25">
      <c r="B329" s="2" t="s">
        <v>335</v>
      </c>
      <c r="C329" s="3">
        <v>28</v>
      </c>
      <c r="D329" s="3" t="s">
        <v>865</v>
      </c>
      <c r="E329" s="2">
        <v>2017</v>
      </c>
      <c r="F329" s="3">
        <v>6</v>
      </c>
      <c r="G329" s="3" t="s">
        <v>861</v>
      </c>
      <c r="H329" s="19">
        <v>2017</v>
      </c>
      <c r="I329" s="2" t="s">
        <v>3</v>
      </c>
    </row>
    <row r="330" spans="2:9" x14ac:dyDescent="0.25">
      <c r="B330" s="2" t="s">
        <v>336</v>
      </c>
      <c r="C330" s="3">
        <v>28</v>
      </c>
      <c r="D330" s="3" t="s">
        <v>865</v>
      </c>
      <c r="E330" s="2">
        <v>2017</v>
      </c>
      <c r="F330" s="3">
        <v>18</v>
      </c>
      <c r="G330" s="3" t="s">
        <v>864</v>
      </c>
      <c r="H330" s="19">
        <v>2014</v>
      </c>
      <c r="I330" s="2" t="s">
        <v>3</v>
      </c>
    </row>
    <row r="331" spans="2:9" x14ac:dyDescent="0.25">
      <c r="B331" s="2" t="s">
        <v>337</v>
      </c>
      <c r="C331" s="3">
        <v>28</v>
      </c>
      <c r="D331" s="3" t="s">
        <v>865</v>
      </c>
      <c r="E331" s="2">
        <v>2017</v>
      </c>
      <c r="F331" s="3">
        <v>14</v>
      </c>
      <c r="G331" s="3" t="s">
        <v>869</v>
      </c>
      <c r="H331" s="19">
        <v>2016</v>
      </c>
      <c r="I331" s="2" t="s">
        <v>2</v>
      </c>
    </row>
    <row r="332" spans="2:9" x14ac:dyDescent="0.25">
      <c r="B332" s="2" t="s">
        <v>338</v>
      </c>
      <c r="C332" s="3">
        <v>28</v>
      </c>
      <c r="D332" s="3" t="s">
        <v>865</v>
      </c>
      <c r="E332" s="2">
        <v>2017</v>
      </c>
      <c r="F332" s="3">
        <v>19</v>
      </c>
      <c r="G332" s="3" t="s">
        <v>857</v>
      </c>
      <c r="H332" s="19">
        <v>2014</v>
      </c>
      <c r="I332" s="2" t="s">
        <v>2</v>
      </c>
    </row>
    <row r="333" spans="2:9" x14ac:dyDescent="0.25">
      <c r="B333" s="2" t="s">
        <v>339</v>
      </c>
      <c r="C333" s="3">
        <v>28</v>
      </c>
      <c r="D333" s="3" t="s">
        <v>865</v>
      </c>
      <c r="E333" s="2">
        <v>2017</v>
      </c>
      <c r="F333" s="3">
        <v>11</v>
      </c>
      <c r="G333" s="3" t="s">
        <v>865</v>
      </c>
      <c r="H333" s="19">
        <v>2017</v>
      </c>
      <c r="I333" s="2" t="s">
        <v>2</v>
      </c>
    </row>
    <row r="334" spans="2:9" x14ac:dyDescent="0.25">
      <c r="B334" s="2" t="s">
        <v>340</v>
      </c>
      <c r="C334" s="3">
        <v>28</v>
      </c>
      <c r="D334" s="3" t="s">
        <v>865</v>
      </c>
      <c r="E334" s="2">
        <v>2017</v>
      </c>
      <c r="F334" s="3">
        <v>12</v>
      </c>
      <c r="G334" s="3" t="s">
        <v>857</v>
      </c>
      <c r="H334" s="19">
        <v>2016</v>
      </c>
      <c r="I334" s="2" t="s">
        <v>3</v>
      </c>
    </row>
    <row r="335" spans="2:9" x14ac:dyDescent="0.25">
      <c r="B335" s="2" t="s">
        <v>341</v>
      </c>
      <c r="C335" s="3">
        <v>28</v>
      </c>
      <c r="D335" s="3" t="s">
        <v>865</v>
      </c>
      <c r="E335" s="3">
        <v>2017</v>
      </c>
      <c r="F335" s="3">
        <v>11</v>
      </c>
      <c r="G335" s="3" t="s">
        <v>856</v>
      </c>
      <c r="H335" s="19">
        <v>2014</v>
      </c>
      <c r="I335" s="2" t="s">
        <v>3</v>
      </c>
    </row>
    <row r="336" spans="2:9" x14ac:dyDescent="0.25">
      <c r="B336" s="2" t="s">
        <v>342</v>
      </c>
      <c r="C336" s="3">
        <v>28</v>
      </c>
      <c r="D336" s="3" t="s">
        <v>865</v>
      </c>
      <c r="E336" s="3">
        <v>2017</v>
      </c>
      <c r="F336" s="3">
        <v>19</v>
      </c>
      <c r="G336" s="3" t="s">
        <v>857</v>
      </c>
      <c r="H336" s="19">
        <v>2012</v>
      </c>
      <c r="I336" s="2" t="s">
        <v>2</v>
      </c>
    </row>
    <row r="337" spans="2:9" x14ac:dyDescent="0.25">
      <c r="B337" s="2" t="s">
        <v>343</v>
      </c>
      <c r="C337" s="3">
        <v>28</v>
      </c>
      <c r="D337" s="3" t="s">
        <v>865</v>
      </c>
      <c r="E337" s="3">
        <v>2017</v>
      </c>
      <c r="F337" s="3">
        <v>16</v>
      </c>
      <c r="G337" s="3" t="s">
        <v>867</v>
      </c>
      <c r="H337" s="19">
        <v>2017</v>
      </c>
      <c r="I337" s="2" t="s">
        <v>2</v>
      </c>
    </row>
    <row r="338" spans="2:9" x14ac:dyDescent="0.25">
      <c r="B338" s="2" t="s">
        <v>344</v>
      </c>
      <c r="C338" s="3">
        <v>28</v>
      </c>
      <c r="D338" s="3" t="s">
        <v>865</v>
      </c>
      <c r="E338" s="3">
        <v>2017</v>
      </c>
      <c r="F338" s="3">
        <v>9</v>
      </c>
      <c r="G338" s="3" t="s">
        <v>865</v>
      </c>
      <c r="H338" s="19">
        <v>2017</v>
      </c>
      <c r="I338" s="2" t="s">
        <v>2</v>
      </c>
    </row>
    <row r="339" spans="2:9" x14ac:dyDescent="0.25">
      <c r="B339" s="2" t="s">
        <v>345</v>
      </c>
      <c r="C339" s="3">
        <v>28</v>
      </c>
      <c r="D339" s="3" t="s">
        <v>865</v>
      </c>
      <c r="E339" s="3">
        <v>2017</v>
      </c>
      <c r="F339" s="3">
        <v>28</v>
      </c>
      <c r="G339" s="3" t="s">
        <v>867</v>
      </c>
      <c r="H339" s="19">
        <v>2017</v>
      </c>
      <c r="I339" s="2" t="s">
        <v>2</v>
      </c>
    </row>
    <row r="340" spans="2:9" x14ac:dyDescent="0.25">
      <c r="B340" s="2" t="s">
        <v>346</v>
      </c>
      <c r="C340" s="3">
        <v>28</v>
      </c>
      <c r="D340" s="3" t="s">
        <v>865</v>
      </c>
      <c r="E340" s="3">
        <v>2017</v>
      </c>
      <c r="F340" s="3">
        <v>2</v>
      </c>
      <c r="G340" s="3" t="s">
        <v>865</v>
      </c>
      <c r="H340" s="19">
        <v>2017</v>
      </c>
      <c r="I340" s="2" t="s">
        <v>2</v>
      </c>
    </row>
    <row r="341" spans="2:9" x14ac:dyDescent="0.25">
      <c r="B341" s="2" t="s">
        <v>347</v>
      </c>
      <c r="C341" s="3">
        <v>28</v>
      </c>
      <c r="D341" s="3" t="s">
        <v>865</v>
      </c>
      <c r="E341" s="3">
        <v>2017</v>
      </c>
      <c r="F341" s="3">
        <v>26</v>
      </c>
      <c r="G341" s="3" t="s">
        <v>869</v>
      </c>
      <c r="H341" s="19">
        <v>2015</v>
      </c>
      <c r="I341" s="2" t="s">
        <v>2</v>
      </c>
    </row>
    <row r="342" spans="2:9" x14ac:dyDescent="0.25">
      <c r="B342" s="2" t="s">
        <v>348</v>
      </c>
      <c r="C342" s="3">
        <v>28</v>
      </c>
      <c r="D342" s="3" t="s">
        <v>865</v>
      </c>
      <c r="E342" s="3">
        <v>2017</v>
      </c>
      <c r="F342" s="3">
        <v>14</v>
      </c>
      <c r="G342" s="3" t="s">
        <v>861</v>
      </c>
      <c r="H342" s="19">
        <v>2017</v>
      </c>
      <c r="I342" s="2" t="s">
        <v>3</v>
      </c>
    </row>
    <row r="343" spans="2:9" x14ac:dyDescent="0.25">
      <c r="B343" s="2" t="s">
        <v>349</v>
      </c>
      <c r="C343" s="3">
        <v>28</v>
      </c>
      <c r="D343" s="3" t="s">
        <v>865</v>
      </c>
      <c r="E343" s="2">
        <v>2017</v>
      </c>
      <c r="F343" s="3">
        <v>31</v>
      </c>
      <c r="G343" s="3" t="s">
        <v>870</v>
      </c>
      <c r="H343" s="19">
        <v>2015</v>
      </c>
      <c r="I343" s="2" t="s">
        <v>3</v>
      </c>
    </row>
    <row r="344" spans="2:9" x14ac:dyDescent="0.25">
      <c r="B344" s="2" t="s">
        <v>350</v>
      </c>
      <c r="C344" s="3">
        <v>28</v>
      </c>
      <c r="D344" s="3" t="s">
        <v>865</v>
      </c>
      <c r="E344" s="2">
        <v>2017</v>
      </c>
      <c r="F344" s="3">
        <v>19</v>
      </c>
      <c r="G344" s="3" t="s">
        <v>858</v>
      </c>
      <c r="H344" s="19">
        <v>2016</v>
      </c>
      <c r="I344" s="2" t="s">
        <v>2</v>
      </c>
    </row>
    <row r="345" spans="2:9" x14ac:dyDescent="0.25">
      <c r="B345" s="2" t="s">
        <v>351</v>
      </c>
      <c r="C345" s="3">
        <v>28</v>
      </c>
      <c r="D345" s="3" t="s">
        <v>865</v>
      </c>
      <c r="E345" s="2">
        <v>2017</v>
      </c>
      <c r="F345" s="3">
        <v>17</v>
      </c>
      <c r="G345" s="3" t="s">
        <v>858</v>
      </c>
      <c r="H345" s="19">
        <v>2016</v>
      </c>
      <c r="I345" s="2" t="s">
        <v>2</v>
      </c>
    </row>
    <row r="346" spans="2:9" x14ac:dyDescent="0.25">
      <c r="B346" s="2" t="s">
        <v>352</v>
      </c>
      <c r="C346" s="3">
        <v>28</v>
      </c>
      <c r="D346" s="3" t="s">
        <v>865</v>
      </c>
      <c r="E346" s="2">
        <v>2017</v>
      </c>
      <c r="F346" s="3">
        <v>25</v>
      </c>
      <c r="G346" s="3" t="s">
        <v>865</v>
      </c>
      <c r="H346" s="19">
        <v>2017</v>
      </c>
      <c r="I346" s="2" t="s">
        <v>3</v>
      </c>
    </row>
    <row r="347" spans="2:9" x14ac:dyDescent="0.25">
      <c r="B347" s="2" t="s">
        <v>353</v>
      </c>
      <c r="C347" s="3">
        <v>28</v>
      </c>
      <c r="D347" s="3" t="s">
        <v>865</v>
      </c>
      <c r="E347" s="2">
        <v>2017</v>
      </c>
      <c r="F347" s="3">
        <v>21</v>
      </c>
      <c r="G347" s="3" t="s">
        <v>856</v>
      </c>
      <c r="H347" s="19">
        <v>2012</v>
      </c>
      <c r="I347" s="2" t="s">
        <v>2</v>
      </c>
    </row>
    <row r="348" spans="2:9" x14ac:dyDescent="0.25">
      <c r="B348" s="2" t="s">
        <v>354</v>
      </c>
      <c r="C348" s="3">
        <v>28</v>
      </c>
      <c r="D348" s="3" t="s">
        <v>865</v>
      </c>
      <c r="E348" s="2">
        <v>2017</v>
      </c>
      <c r="F348" s="3">
        <v>25</v>
      </c>
      <c r="G348" s="3" t="s">
        <v>863</v>
      </c>
      <c r="H348" s="19">
        <v>2015</v>
      </c>
      <c r="I348" s="2" t="s">
        <v>3</v>
      </c>
    </row>
    <row r="349" spans="2:9" x14ac:dyDescent="0.25">
      <c r="B349" s="2" t="s">
        <v>355</v>
      </c>
      <c r="C349" s="3">
        <v>28</v>
      </c>
      <c r="D349" s="3" t="s">
        <v>865</v>
      </c>
      <c r="E349" s="3">
        <v>2017</v>
      </c>
      <c r="F349" s="3">
        <v>20</v>
      </c>
      <c r="G349" s="3" t="s">
        <v>856</v>
      </c>
      <c r="H349" s="19">
        <v>2017</v>
      </c>
      <c r="I349" s="2" t="s">
        <v>2</v>
      </c>
    </row>
    <row r="350" spans="2:9" x14ac:dyDescent="0.25">
      <c r="B350" s="2" t="s">
        <v>356</v>
      </c>
      <c r="C350" s="3">
        <v>28</v>
      </c>
      <c r="D350" s="3" t="s">
        <v>865</v>
      </c>
      <c r="E350" s="3">
        <v>2017</v>
      </c>
      <c r="F350" s="3">
        <v>26</v>
      </c>
      <c r="G350" s="3" t="s">
        <v>865</v>
      </c>
      <c r="H350" s="19">
        <v>2017</v>
      </c>
      <c r="I350" s="2" t="s">
        <v>2</v>
      </c>
    </row>
    <row r="351" spans="2:9" x14ac:dyDescent="0.25">
      <c r="B351" s="2" t="s">
        <v>357</v>
      </c>
      <c r="C351" s="3">
        <v>28</v>
      </c>
      <c r="D351" s="3" t="s">
        <v>865</v>
      </c>
      <c r="E351" s="3">
        <v>2017</v>
      </c>
      <c r="F351" s="3">
        <v>11</v>
      </c>
      <c r="G351" s="3" t="s">
        <v>867</v>
      </c>
      <c r="H351" s="19">
        <v>2017</v>
      </c>
      <c r="I351" s="2" t="s">
        <v>2</v>
      </c>
    </row>
    <row r="352" spans="2:9" x14ac:dyDescent="0.25">
      <c r="B352" s="2" t="s">
        <v>358</v>
      </c>
      <c r="C352" s="3">
        <v>28</v>
      </c>
      <c r="D352" s="3" t="s">
        <v>865</v>
      </c>
      <c r="E352" s="3">
        <v>2017</v>
      </c>
      <c r="F352" s="3">
        <v>16</v>
      </c>
      <c r="G352" s="3" t="s">
        <v>858</v>
      </c>
      <c r="H352" s="19">
        <v>2016</v>
      </c>
      <c r="I352" s="2" t="s">
        <v>2</v>
      </c>
    </row>
    <row r="353" spans="2:9" x14ac:dyDescent="0.25">
      <c r="B353" s="2" t="s">
        <v>359</v>
      </c>
      <c r="C353" s="3">
        <v>28</v>
      </c>
      <c r="D353" s="3" t="s">
        <v>865</v>
      </c>
      <c r="E353" s="3">
        <v>2017</v>
      </c>
      <c r="F353" s="3">
        <v>9</v>
      </c>
      <c r="G353" s="3" t="s">
        <v>865</v>
      </c>
      <c r="H353" s="19">
        <v>2017</v>
      </c>
      <c r="I353" s="2" t="s">
        <v>3</v>
      </c>
    </row>
    <row r="354" spans="2:9" x14ac:dyDescent="0.25">
      <c r="B354" s="2" t="s">
        <v>360</v>
      </c>
      <c r="C354" s="3">
        <v>28</v>
      </c>
      <c r="D354" s="3" t="s">
        <v>865</v>
      </c>
      <c r="E354" s="3">
        <v>2017</v>
      </c>
      <c r="F354" s="3">
        <v>6</v>
      </c>
      <c r="G354" s="3" t="s">
        <v>858</v>
      </c>
      <c r="H354" s="19">
        <v>2015</v>
      </c>
      <c r="I354" s="2" t="s">
        <v>2</v>
      </c>
    </row>
    <row r="355" spans="2:9" x14ac:dyDescent="0.25">
      <c r="B355" s="2" t="s">
        <v>361</v>
      </c>
      <c r="C355" s="3">
        <v>28</v>
      </c>
      <c r="D355" s="3" t="s">
        <v>865</v>
      </c>
      <c r="E355" s="3">
        <v>2017</v>
      </c>
      <c r="F355" s="3">
        <v>24</v>
      </c>
      <c r="G355" s="3" t="s">
        <v>865</v>
      </c>
      <c r="H355" s="19">
        <v>2017</v>
      </c>
      <c r="I355" s="2" t="s">
        <v>3</v>
      </c>
    </row>
    <row r="356" spans="2:9" x14ac:dyDescent="0.25">
      <c r="B356" s="2" t="s">
        <v>362</v>
      </c>
      <c r="C356" s="3">
        <v>28</v>
      </c>
      <c r="D356" s="3" t="s">
        <v>865</v>
      </c>
      <c r="E356" s="3">
        <v>2017</v>
      </c>
      <c r="F356" s="3">
        <v>17</v>
      </c>
      <c r="G356" s="3" t="s">
        <v>865</v>
      </c>
      <c r="H356" s="19">
        <v>2017</v>
      </c>
      <c r="I356" s="2" t="s">
        <v>2</v>
      </c>
    </row>
    <row r="357" spans="2:9" x14ac:dyDescent="0.25">
      <c r="B357" s="2" t="s">
        <v>363</v>
      </c>
      <c r="C357" s="3">
        <v>28</v>
      </c>
      <c r="D357" s="3" t="s">
        <v>865</v>
      </c>
      <c r="E357" s="2">
        <v>2017</v>
      </c>
      <c r="F357" s="3">
        <v>3</v>
      </c>
      <c r="G357" s="3" t="s">
        <v>865</v>
      </c>
      <c r="H357" s="19">
        <v>2016</v>
      </c>
      <c r="I357" s="2" t="s">
        <v>2</v>
      </c>
    </row>
    <row r="358" spans="2:9" x14ac:dyDescent="0.25">
      <c r="B358" s="2" t="s">
        <v>364</v>
      </c>
      <c r="C358" s="3">
        <v>28</v>
      </c>
      <c r="D358" s="3" t="s">
        <v>865</v>
      </c>
      <c r="E358" s="2">
        <v>2017</v>
      </c>
      <c r="F358" s="3">
        <v>26</v>
      </c>
      <c r="G358" s="3" t="s">
        <v>870</v>
      </c>
      <c r="H358" s="19">
        <v>2015</v>
      </c>
      <c r="I358" s="2" t="s">
        <v>3</v>
      </c>
    </row>
    <row r="359" spans="2:9" x14ac:dyDescent="0.25">
      <c r="B359" s="2" t="s">
        <v>365</v>
      </c>
      <c r="C359" s="3">
        <v>28</v>
      </c>
      <c r="D359" s="3" t="s">
        <v>865</v>
      </c>
      <c r="E359" s="2">
        <v>2017</v>
      </c>
      <c r="F359" s="3">
        <v>9</v>
      </c>
      <c r="G359" s="3" t="s">
        <v>863</v>
      </c>
      <c r="H359" s="19">
        <v>2015</v>
      </c>
      <c r="I359" s="2" t="s">
        <v>2</v>
      </c>
    </row>
    <row r="360" spans="2:9" x14ac:dyDescent="0.25">
      <c r="B360" s="2" t="s">
        <v>366</v>
      </c>
      <c r="C360" s="3">
        <v>28</v>
      </c>
      <c r="D360" s="3" t="s">
        <v>865</v>
      </c>
      <c r="E360" s="2">
        <v>2017</v>
      </c>
      <c r="F360" s="3">
        <v>17</v>
      </c>
      <c r="G360" s="3" t="s">
        <v>864</v>
      </c>
      <c r="H360" s="19">
        <v>2014</v>
      </c>
      <c r="I360" s="2" t="s">
        <v>3</v>
      </c>
    </row>
    <row r="361" spans="2:9" x14ac:dyDescent="0.25">
      <c r="B361" s="2" t="s">
        <v>367</v>
      </c>
      <c r="C361" s="3">
        <v>2</v>
      </c>
      <c r="D361" s="3" t="s">
        <v>866</v>
      </c>
      <c r="E361" s="3">
        <v>2017</v>
      </c>
      <c r="F361" s="3">
        <v>23</v>
      </c>
      <c r="G361" s="3" t="s">
        <v>864</v>
      </c>
      <c r="H361" s="19">
        <v>1995</v>
      </c>
      <c r="I361" s="2" t="s">
        <v>2</v>
      </c>
    </row>
    <row r="362" spans="2:9" x14ac:dyDescent="0.25">
      <c r="B362" s="2" t="s">
        <v>368</v>
      </c>
      <c r="C362" s="3">
        <v>2</v>
      </c>
      <c r="D362" s="3" t="s">
        <v>866</v>
      </c>
      <c r="E362" s="3">
        <v>2017</v>
      </c>
      <c r="F362" s="3">
        <v>25</v>
      </c>
      <c r="G362" s="3" t="s">
        <v>865</v>
      </c>
      <c r="H362" s="19">
        <v>2017</v>
      </c>
      <c r="I362" s="2" t="s">
        <v>3</v>
      </c>
    </row>
    <row r="363" spans="2:9" x14ac:dyDescent="0.25">
      <c r="B363" s="2" t="s">
        <v>369</v>
      </c>
      <c r="C363" s="3">
        <v>2</v>
      </c>
      <c r="D363" s="3" t="s">
        <v>866</v>
      </c>
      <c r="E363" s="3">
        <v>2017</v>
      </c>
      <c r="F363" s="3">
        <v>12</v>
      </c>
      <c r="G363" s="3" t="s">
        <v>861</v>
      </c>
      <c r="H363" s="19">
        <v>2017</v>
      </c>
      <c r="I363" s="2" t="s">
        <v>2</v>
      </c>
    </row>
    <row r="364" spans="2:9" x14ac:dyDescent="0.25">
      <c r="B364" s="2" t="s">
        <v>370</v>
      </c>
      <c r="C364" s="3">
        <v>2</v>
      </c>
      <c r="D364" s="3" t="s">
        <v>866</v>
      </c>
      <c r="E364" s="3">
        <v>2017</v>
      </c>
      <c r="F364" s="3">
        <v>27</v>
      </c>
      <c r="G364" s="3" t="s">
        <v>863</v>
      </c>
      <c r="H364" s="19">
        <v>2016</v>
      </c>
      <c r="I364" s="2" t="s">
        <v>3</v>
      </c>
    </row>
    <row r="365" spans="2:9" x14ac:dyDescent="0.25">
      <c r="B365" s="2" t="s">
        <v>371</v>
      </c>
      <c r="C365" s="3">
        <v>2</v>
      </c>
      <c r="D365" s="3" t="s">
        <v>866</v>
      </c>
      <c r="E365" s="3">
        <v>2017</v>
      </c>
      <c r="F365" s="3">
        <v>26</v>
      </c>
      <c r="G365" s="3" t="s">
        <v>858</v>
      </c>
      <c r="H365" s="19">
        <v>2015</v>
      </c>
      <c r="I365" s="2" t="s">
        <v>2</v>
      </c>
    </row>
    <row r="366" spans="2:9" x14ac:dyDescent="0.25">
      <c r="B366" s="2" t="s">
        <v>372</v>
      </c>
      <c r="C366" s="3">
        <v>3</v>
      </c>
      <c r="D366" s="3" t="s">
        <v>866</v>
      </c>
      <c r="E366" s="2">
        <v>2017</v>
      </c>
      <c r="F366" s="3">
        <v>26</v>
      </c>
      <c r="G366" s="3" t="s">
        <v>863</v>
      </c>
      <c r="H366" s="19">
        <v>1998</v>
      </c>
      <c r="I366" s="2" t="s">
        <v>3</v>
      </c>
    </row>
    <row r="367" spans="2:9" x14ac:dyDescent="0.25">
      <c r="B367" s="2" t="s">
        <v>373</v>
      </c>
      <c r="C367" s="3">
        <v>3</v>
      </c>
      <c r="D367" s="3" t="s">
        <v>866</v>
      </c>
      <c r="E367" s="2">
        <v>2017</v>
      </c>
      <c r="F367" s="3">
        <v>16</v>
      </c>
      <c r="G367" s="3" t="s">
        <v>868</v>
      </c>
      <c r="H367" s="19">
        <v>1991</v>
      </c>
      <c r="I367" s="2" t="s">
        <v>2</v>
      </c>
    </row>
    <row r="368" spans="2:9" x14ac:dyDescent="0.25">
      <c r="B368" s="2" t="s">
        <v>374</v>
      </c>
      <c r="C368" s="3">
        <v>3</v>
      </c>
      <c r="D368" s="3" t="s">
        <v>866</v>
      </c>
      <c r="E368" s="2">
        <v>2017</v>
      </c>
      <c r="F368" s="3">
        <v>26</v>
      </c>
      <c r="G368" s="3" t="s">
        <v>865</v>
      </c>
      <c r="H368" s="19">
        <v>2017</v>
      </c>
      <c r="I368" s="2" t="s">
        <v>3</v>
      </c>
    </row>
    <row r="369" spans="2:9" x14ac:dyDescent="0.25">
      <c r="B369" s="2" t="s">
        <v>375</v>
      </c>
      <c r="C369" s="3">
        <v>3</v>
      </c>
      <c r="D369" s="3" t="s">
        <v>866</v>
      </c>
      <c r="E369" s="2">
        <v>2017</v>
      </c>
      <c r="F369" s="3">
        <v>22</v>
      </c>
      <c r="G369" s="3" t="s">
        <v>867</v>
      </c>
      <c r="H369" s="19">
        <v>2017</v>
      </c>
      <c r="I369" s="2" t="s">
        <v>2</v>
      </c>
    </row>
    <row r="370" spans="2:9" x14ac:dyDescent="0.25">
      <c r="B370" s="2" t="s">
        <v>376</v>
      </c>
      <c r="C370" s="3">
        <v>3</v>
      </c>
      <c r="D370" s="3" t="s">
        <v>866</v>
      </c>
      <c r="E370" s="3">
        <v>2017</v>
      </c>
      <c r="F370" s="3">
        <v>5</v>
      </c>
      <c r="G370" s="3" t="s">
        <v>857</v>
      </c>
      <c r="H370" s="19">
        <v>2011</v>
      </c>
      <c r="I370" s="2" t="s">
        <v>2</v>
      </c>
    </row>
    <row r="371" spans="2:9" x14ac:dyDescent="0.25">
      <c r="B371" s="2" t="s">
        <v>377</v>
      </c>
      <c r="C371" s="3">
        <v>4</v>
      </c>
      <c r="D371" s="3" t="s">
        <v>866</v>
      </c>
      <c r="E371" s="3">
        <v>2017</v>
      </c>
      <c r="F371" s="3">
        <v>17</v>
      </c>
      <c r="G371" s="3" t="s">
        <v>856</v>
      </c>
      <c r="H371" s="19">
        <v>2017</v>
      </c>
      <c r="I371" s="2" t="s">
        <v>2</v>
      </c>
    </row>
    <row r="372" spans="2:9" x14ac:dyDescent="0.25">
      <c r="B372" s="2" t="s">
        <v>378</v>
      </c>
      <c r="C372" s="3">
        <v>4</v>
      </c>
      <c r="D372" s="3" t="s">
        <v>866</v>
      </c>
      <c r="E372" s="3">
        <v>2017</v>
      </c>
      <c r="F372" s="3">
        <v>8</v>
      </c>
      <c r="G372" s="3" t="s">
        <v>865</v>
      </c>
      <c r="H372" s="19">
        <v>2017</v>
      </c>
      <c r="I372" s="2" t="s">
        <v>2</v>
      </c>
    </row>
    <row r="373" spans="2:9" x14ac:dyDescent="0.25">
      <c r="B373" s="2" t="s">
        <v>379</v>
      </c>
      <c r="C373" s="3">
        <v>4</v>
      </c>
      <c r="D373" s="3" t="s">
        <v>866</v>
      </c>
      <c r="E373" s="3">
        <v>2017</v>
      </c>
      <c r="F373" s="3">
        <v>28</v>
      </c>
      <c r="G373" s="3" t="s">
        <v>865</v>
      </c>
      <c r="H373" s="19">
        <v>2017</v>
      </c>
      <c r="I373" s="2" t="s">
        <v>2</v>
      </c>
    </row>
    <row r="374" spans="2:9" x14ac:dyDescent="0.25">
      <c r="B374" s="2" t="s">
        <v>380</v>
      </c>
      <c r="C374" s="3">
        <v>8</v>
      </c>
      <c r="D374" s="3" t="s">
        <v>866</v>
      </c>
      <c r="E374" s="3">
        <v>2017</v>
      </c>
      <c r="F374" s="3">
        <v>4</v>
      </c>
      <c r="G374" s="3" t="s">
        <v>866</v>
      </c>
      <c r="H374" s="19">
        <v>2017</v>
      </c>
      <c r="I374" s="2" t="s">
        <v>2</v>
      </c>
    </row>
    <row r="375" spans="2:9" x14ac:dyDescent="0.25">
      <c r="B375" s="2" t="s">
        <v>381</v>
      </c>
      <c r="C375" s="3">
        <v>8</v>
      </c>
      <c r="D375" s="3" t="s">
        <v>866</v>
      </c>
      <c r="E375" s="2">
        <v>2017</v>
      </c>
      <c r="F375" s="3">
        <v>20</v>
      </c>
      <c r="G375" s="3" t="s">
        <v>863</v>
      </c>
      <c r="H375" s="19">
        <v>2016</v>
      </c>
      <c r="I375" s="2" t="s">
        <v>3</v>
      </c>
    </row>
    <row r="376" spans="2:9" x14ac:dyDescent="0.25">
      <c r="B376" s="2" t="s">
        <v>382</v>
      </c>
      <c r="C376" s="3">
        <v>11</v>
      </c>
      <c r="D376" s="3" t="s">
        <v>866</v>
      </c>
      <c r="E376" s="2">
        <v>2017</v>
      </c>
      <c r="F376" s="3">
        <v>9</v>
      </c>
      <c r="G376" s="3" t="s">
        <v>867</v>
      </c>
      <c r="H376" s="19">
        <v>2017</v>
      </c>
      <c r="I376" s="2" t="s">
        <v>3</v>
      </c>
    </row>
    <row r="377" spans="2:9" x14ac:dyDescent="0.25">
      <c r="B377" s="2" t="s">
        <v>383</v>
      </c>
      <c r="C377" s="3">
        <v>12</v>
      </c>
      <c r="D377" s="3" t="s">
        <v>866</v>
      </c>
      <c r="E377" s="2">
        <v>2017</v>
      </c>
      <c r="F377" s="3">
        <v>10</v>
      </c>
      <c r="G377" s="3" t="s">
        <v>867</v>
      </c>
      <c r="H377" s="19">
        <v>2017</v>
      </c>
      <c r="I377" s="2" t="s">
        <v>3</v>
      </c>
    </row>
    <row r="378" spans="2:9" x14ac:dyDescent="0.25">
      <c r="B378" s="2" t="s">
        <v>384</v>
      </c>
      <c r="C378" s="3">
        <v>12</v>
      </c>
      <c r="D378" s="3" t="s">
        <v>866</v>
      </c>
      <c r="E378" s="2">
        <v>2017</v>
      </c>
      <c r="F378" s="3">
        <v>2</v>
      </c>
      <c r="G378" s="3" t="s">
        <v>866</v>
      </c>
      <c r="H378" s="19">
        <v>2017</v>
      </c>
      <c r="I378" s="2" t="s">
        <v>2</v>
      </c>
    </row>
    <row r="379" spans="2:9" x14ac:dyDescent="0.25">
      <c r="B379" s="2" t="s">
        <v>385</v>
      </c>
      <c r="C379" s="3">
        <v>15</v>
      </c>
      <c r="D379" s="3" t="s">
        <v>866</v>
      </c>
      <c r="E379" s="3">
        <v>2017</v>
      </c>
      <c r="F379" s="3">
        <v>29</v>
      </c>
      <c r="G379" s="3" t="s">
        <v>868</v>
      </c>
      <c r="H379" s="19">
        <v>1939</v>
      </c>
      <c r="I379" s="2" t="s">
        <v>2</v>
      </c>
    </row>
    <row r="380" spans="2:9" x14ac:dyDescent="0.25">
      <c r="B380" s="2" t="s">
        <v>386</v>
      </c>
      <c r="C380" s="3">
        <v>16</v>
      </c>
      <c r="D380" s="3" t="s">
        <v>866</v>
      </c>
      <c r="E380" s="3">
        <v>2017</v>
      </c>
      <c r="F380" s="3">
        <v>17</v>
      </c>
      <c r="G380" s="3" t="s">
        <v>861</v>
      </c>
      <c r="H380" s="19">
        <v>2017</v>
      </c>
      <c r="I380" s="2" t="s">
        <v>3</v>
      </c>
    </row>
    <row r="381" spans="2:9" x14ac:dyDescent="0.25">
      <c r="B381" s="2" t="s">
        <v>387</v>
      </c>
      <c r="C381" s="3">
        <v>16</v>
      </c>
      <c r="D381" s="3" t="s">
        <v>866</v>
      </c>
      <c r="E381" s="3">
        <v>2017</v>
      </c>
      <c r="F381" s="3">
        <v>12</v>
      </c>
      <c r="G381" s="3" t="s">
        <v>866</v>
      </c>
      <c r="H381" s="19">
        <v>2017</v>
      </c>
      <c r="I381" s="2" t="s">
        <v>3</v>
      </c>
    </row>
    <row r="382" spans="2:9" x14ac:dyDescent="0.25">
      <c r="B382" s="2" t="s">
        <v>388</v>
      </c>
      <c r="C382" s="3">
        <v>17</v>
      </c>
      <c r="D382" s="3" t="s">
        <v>866</v>
      </c>
      <c r="E382" s="3">
        <v>2017</v>
      </c>
      <c r="F382" s="3">
        <v>6</v>
      </c>
      <c r="G382" s="3" t="s">
        <v>856</v>
      </c>
      <c r="H382" s="19">
        <v>1974</v>
      </c>
      <c r="I382" s="2" t="s">
        <v>2</v>
      </c>
    </row>
    <row r="383" spans="2:9" x14ac:dyDescent="0.25">
      <c r="B383" s="2" t="s">
        <v>389</v>
      </c>
      <c r="C383" s="3">
        <v>17</v>
      </c>
      <c r="D383" s="3" t="s">
        <v>866</v>
      </c>
      <c r="E383" s="3">
        <v>2017</v>
      </c>
      <c r="F383" s="3">
        <v>4</v>
      </c>
      <c r="G383" s="3" t="s">
        <v>866</v>
      </c>
      <c r="H383" s="19">
        <v>2017</v>
      </c>
      <c r="I383" s="2" t="s">
        <v>3</v>
      </c>
    </row>
    <row r="384" spans="2:9" x14ac:dyDescent="0.25">
      <c r="B384" s="2" t="s">
        <v>390</v>
      </c>
      <c r="C384" s="3">
        <v>18</v>
      </c>
      <c r="D384" s="3" t="s">
        <v>866</v>
      </c>
      <c r="E384" s="2">
        <v>2017</v>
      </c>
      <c r="F384" s="3">
        <v>21</v>
      </c>
      <c r="G384" s="3" t="s">
        <v>865</v>
      </c>
      <c r="H384" s="19">
        <v>2017</v>
      </c>
      <c r="I384" s="2" t="s">
        <v>2</v>
      </c>
    </row>
    <row r="385" spans="2:9" x14ac:dyDescent="0.25">
      <c r="B385" s="2" t="s">
        <v>391</v>
      </c>
      <c r="C385" s="3">
        <v>22</v>
      </c>
      <c r="D385" s="3" t="s">
        <v>866</v>
      </c>
      <c r="E385" s="2">
        <v>2017</v>
      </c>
      <c r="F385" s="3">
        <v>11</v>
      </c>
      <c r="G385" s="3" t="s">
        <v>866</v>
      </c>
      <c r="H385" s="19">
        <v>2017</v>
      </c>
      <c r="I385" s="2" t="s">
        <v>2</v>
      </c>
    </row>
    <row r="386" spans="2:9" x14ac:dyDescent="0.25">
      <c r="B386" s="2" t="s">
        <v>392</v>
      </c>
      <c r="C386" s="3">
        <v>24</v>
      </c>
      <c r="D386" s="3" t="s">
        <v>866</v>
      </c>
      <c r="E386" s="2">
        <v>2017</v>
      </c>
      <c r="F386" s="3">
        <v>20</v>
      </c>
      <c r="G386" s="3" t="s">
        <v>856</v>
      </c>
      <c r="H386" s="19">
        <v>2017</v>
      </c>
      <c r="I386" s="2" t="s">
        <v>3</v>
      </c>
    </row>
    <row r="387" spans="2:9" x14ac:dyDescent="0.25">
      <c r="B387" s="2" t="s">
        <v>393</v>
      </c>
      <c r="C387" s="3">
        <v>26</v>
      </c>
      <c r="D387" s="3" t="s">
        <v>866</v>
      </c>
      <c r="E387" s="2">
        <v>2017</v>
      </c>
      <c r="F387" s="3">
        <v>27</v>
      </c>
      <c r="G387" s="3" t="s">
        <v>856</v>
      </c>
      <c r="H387" s="19">
        <v>2017</v>
      </c>
      <c r="I387" s="2" t="s">
        <v>3</v>
      </c>
    </row>
    <row r="388" spans="2:9" x14ac:dyDescent="0.25">
      <c r="B388" s="2" t="s">
        <v>394</v>
      </c>
      <c r="C388" s="3">
        <v>26</v>
      </c>
      <c r="D388" s="3" t="s">
        <v>866</v>
      </c>
      <c r="E388" s="3">
        <v>2017</v>
      </c>
      <c r="F388" s="3">
        <v>17</v>
      </c>
      <c r="G388" s="3" t="s">
        <v>866</v>
      </c>
      <c r="H388" s="19">
        <v>2017</v>
      </c>
      <c r="I388" s="2" t="s">
        <v>3</v>
      </c>
    </row>
    <row r="389" spans="2:9" x14ac:dyDescent="0.25">
      <c r="B389" s="2" t="s">
        <v>395</v>
      </c>
      <c r="C389" s="3">
        <v>29</v>
      </c>
      <c r="D389" s="3" t="s">
        <v>866</v>
      </c>
      <c r="E389" s="3">
        <v>2017</v>
      </c>
      <c r="F389" s="3">
        <v>13</v>
      </c>
      <c r="G389" s="3" t="s">
        <v>866</v>
      </c>
      <c r="H389" s="19">
        <v>2017</v>
      </c>
      <c r="I389" s="2" t="s">
        <v>2</v>
      </c>
    </row>
    <row r="390" spans="2:9" x14ac:dyDescent="0.25">
      <c r="B390" s="2" t="s">
        <v>396</v>
      </c>
      <c r="C390" s="3">
        <v>29</v>
      </c>
      <c r="D390" s="3" t="s">
        <v>866</v>
      </c>
      <c r="E390" s="3">
        <v>2017</v>
      </c>
      <c r="F390" s="3">
        <v>8</v>
      </c>
      <c r="G390" s="3" t="s">
        <v>865</v>
      </c>
      <c r="H390" s="19">
        <v>2016</v>
      </c>
      <c r="I390" s="2" t="s">
        <v>3</v>
      </c>
    </row>
    <row r="391" spans="2:9" x14ac:dyDescent="0.25">
      <c r="B391" s="2" t="s">
        <v>397</v>
      </c>
      <c r="C391" s="3">
        <v>29</v>
      </c>
      <c r="D391" s="3" t="s">
        <v>866</v>
      </c>
      <c r="E391" s="3">
        <v>2017</v>
      </c>
      <c r="F391" s="3">
        <v>15</v>
      </c>
      <c r="G391" s="3" t="s">
        <v>863</v>
      </c>
      <c r="H391" s="19">
        <v>1948</v>
      </c>
      <c r="I391" s="2" t="s">
        <v>3</v>
      </c>
    </row>
    <row r="392" spans="2:9" x14ac:dyDescent="0.25">
      <c r="B392" s="2" t="s">
        <v>398</v>
      </c>
      <c r="C392" s="3">
        <v>29</v>
      </c>
      <c r="D392" s="3" t="s">
        <v>866</v>
      </c>
      <c r="E392" s="3">
        <v>2017</v>
      </c>
      <c r="F392" s="3">
        <v>13</v>
      </c>
      <c r="G392" s="3" t="s">
        <v>866</v>
      </c>
      <c r="H392" s="19">
        <v>2017</v>
      </c>
      <c r="I392" s="2" t="s">
        <v>2</v>
      </c>
    </row>
    <row r="393" spans="2:9" x14ac:dyDescent="0.25">
      <c r="B393" s="2" t="s">
        <v>399</v>
      </c>
      <c r="C393" s="3">
        <v>29</v>
      </c>
      <c r="D393" s="3" t="s">
        <v>866</v>
      </c>
      <c r="E393" s="2">
        <v>2017</v>
      </c>
      <c r="F393" s="3">
        <v>3</v>
      </c>
      <c r="G393" s="3" t="s">
        <v>866</v>
      </c>
      <c r="H393" s="19">
        <v>2017</v>
      </c>
      <c r="I393" s="2" t="s">
        <v>2</v>
      </c>
    </row>
    <row r="394" spans="2:9" x14ac:dyDescent="0.25">
      <c r="B394" s="2" t="s">
        <v>400</v>
      </c>
      <c r="C394" s="3">
        <v>29</v>
      </c>
      <c r="D394" s="3" t="s">
        <v>866</v>
      </c>
      <c r="E394" s="2">
        <v>2017</v>
      </c>
      <c r="F394" s="3">
        <v>14</v>
      </c>
      <c r="G394" s="3" t="s">
        <v>870</v>
      </c>
      <c r="H394" s="19">
        <v>2013</v>
      </c>
      <c r="I394" s="2" t="s">
        <v>3</v>
      </c>
    </row>
    <row r="395" spans="2:9" x14ac:dyDescent="0.25">
      <c r="B395" s="2" t="s">
        <v>401</v>
      </c>
      <c r="C395" s="3">
        <v>30</v>
      </c>
      <c r="D395" s="3" t="s">
        <v>866</v>
      </c>
      <c r="E395" s="2">
        <v>2017</v>
      </c>
      <c r="F395" s="3">
        <v>26</v>
      </c>
      <c r="G395" s="3" t="s">
        <v>865</v>
      </c>
      <c r="H395" s="19">
        <v>2017</v>
      </c>
      <c r="I395" s="2" t="s">
        <v>3</v>
      </c>
    </row>
    <row r="396" spans="2:9" x14ac:dyDescent="0.25">
      <c r="B396" s="2" t="s">
        <v>402</v>
      </c>
      <c r="C396" s="3">
        <v>31</v>
      </c>
      <c r="D396" s="3" t="s">
        <v>866</v>
      </c>
      <c r="E396" s="2">
        <v>2017</v>
      </c>
      <c r="F396" s="3">
        <v>18</v>
      </c>
      <c r="G396" s="3" t="s">
        <v>861</v>
      </c>
      <c r="H396" s="19">
        <v>2013</v>
      </c>
      <c r="I396" s="2" t="s">
        <v>3</v>
      </c>
    </row>
    <row r="397" spans="2:9" x14ac:dyDescent="0.25">
      <c r="B397" s="2" t="s">
        <v>403</v>
      </c>
      <c r="C397" s="3">
        <v>31</v>
      </c>
      <c r="D397" s="3" t="s">
        <v>866</v>
      </c>
      <c r="E397" s="2">
        <v>2017</v>
      </c>
      <c r="F397" s="3">
        <v>17</v>
      </c>
      <c r="G397" s="3" t="s">
        <v>866</v>
      </c>
      <c r="H397" s="19">
        <v>2017</v>
      </c>
      <c r="I397" s="2" t="s">
        <v>2</v>
      </c>
    </row>
    <row r="398" spans="2:9" x14ac:dyDescent="0.25">
      <c r="B398" s="2" t="s">
        <v>404</v>
      </c>
      <c r="C398" s="3">
        <v>2</v>
      </c>
      <c r="D398" s="3" t="s">
        <v>868</v>
      </c>
      <c r="E398" s="3">
        <v>2017</v>
      </c>
      <c r="F398" s="3">
        <v>3</v>
      </c>
      <c r="G398" s="3" t="s">
        <v>865</v>
      </c>
      <c r="H398" s="20">
        <v>2016</v>
      </c>
      <c r="I398" s="7" t="s">
        <v>3</v>
      </c>
    </row>
    <row r="399" spans="2:9" x14ac:dyDescent="0.25">
      <c r="B399" s="2" t="s">
        <v>405</v>
      </c>
      <c r="C399" s="3">
        <v>2</v>
      </c>
      <c r="D399" s="3" t="s">
        <v>868</v>
      </c>
      <c r="E399" s="2">
        <v>2017</v>
      </c>
      <c r="F399" s="3">
        <v>6</v>
      </c>
      <c r="G399" s="3" t="s">
        <v>863</v>
      </c>
      <c r="H399" s="19">
        <v>2016</v>
      </c>
      <c r="I399" s="2" t="s">
        <v>2</v>
      </c>
    </row>
    <row r="400" spans="2:9" x14ac:dyDescent="0.25">
      <c r="B400" s="2" t="s">
        <v>406</v>
      </c>
      <c r="C400" s="3">
        <v>5</v>
      </c>
      <c r="D400" s="3" t="s">
        <v>868</v>
      </c>
      <c r="E400" s="2">
        <v>2017</v>
      </c>
      <c r="F400" s="3">
        <v>27</v>
      </c>
      <c r="G400" s="3" t="s">
        <v>865</v>
      </c>
      <c r="H400" s="19">
        <v>2017</v>
      </c>
      <c r="I400" s="2" t="s">
        <v>3</v>
      </c>
    </row>
    <row r="401" spans="2:9" x14ac:dyDescent="0.25">
      <c r="B401" s="2" t="s">
        <v>407</v>
      </c>
      <c r="C401" s="3">
        <v>5</v>
      </c>
      <c r="D401" s="3" t="s">
        <v>868</v>
      </c>
      <c r="E401" s="2">
        <v>2017</v>
      </c>
      <c r="F401" s="3">
        <v>10</v>
      </c>
      <c r="G401" s="3" t="s">
        <v>866</v>
      </c>
      <c r="H401" s="19">
        <v>2016</v>
      </c>
      <c r="I401" s="2" t="s">
        <v>2</v>
      </c>
    </row>
    <row r="402" spans="2:9" x14ac:dyDescent="0.25">
      <c r="B402" s="2" t="s">
        <v>408</v>
      </c>
      <c r="C402" s="3">
        <v>5</v>
      </c>
      <c r="D402" s="3" t="s">
        <v>868</v>
      </c>
      <c r="E402" s="2">
        <v>2017</v>
      </c>
      <c r="F402" s="3">
        <v>2</v>
      </c>
      <c r="G402" s="3" t="s">
        <v>866</v>
      </c>
      <c r="H402" s="20">
        <v>2017</v>
      </c>
      <c r="I402" s="2" t="s">
        <v>3</v>
      </c>
    </row>
    <row r="403" spans="2:9" x14ac:dyDescent="0.25">
      <c r="B403" s="2" t="s">
        <v>409</v>
      </c>
      <c r="C403" s="3">
        <v>6</v>
      </c>
      <c r="D403" s="3" t="s">
        <v>868</v>
      </c>
      <c r="E403" s="3">
        <v>2017</v>
      </c>
      <c r="F403" s="3">
        <v>13</v>
      </c>
      <c r="G403" s="3" t="s">
        <v>868</v>
      </c>
      <c r="H403" s="19">
        <v>2016</v>
      </c>
      <c r="I403" s="2" t="s">
        <v>2</v>
      </c>
    </row>
    <row r="404" spans="2:9" x14ac:dyDescent="0.25">
      <c r="B404" s="2" t="s">
        <v>410</v>
      </c>
      <c r="C404" s="3">
        <v>6</v>
      </c>
      <c r="D404" s="3" t="s">
        <v>868</v>
      </c>
      <c r="E404" s="3">
        <v>2017</v>
      </c>
      <c r="F404" s="3">
        <v>10</v>
      </c>
      <c r="G404" s="3" t="s">
        <v>870</v>
      </c>
      <c r="H404" s="19">
        <v>2016</v>
      </c>
      <c r="I404" s="2" t="s">
        <v>2</v>
      </c>
    </row>
    <row r="405" spans="2:9" x14ac:dyDescent="0.25">
      <c r="B405" s="2" t="s">
        <v>411</v>
      </c>
      <c r="C405" s="3">
        <v>6</v>
      </c>
      <c r="D405" s="3" t="s">
        <v>868</v>
      </c>
      <c r="E405" s="3">
        <v>2017</v>
      </c>
      <c r="F405" s="3">
        <v>24</v>
      </c>
      <c r="G405" s="3" t="s">
        <v>870</v>
      </c>
      <c r="H405" s="19">
        <v>2015</v>
      </c>
      <c r="I405" s="2" t="s">
        <v>3</v>
      </c>
    </row>
    <row r="406" spans="2:9" x14ac:dyDescent="0.25">
      <c r="B406" s="2" t="s">
        <v>412</v>
      </c>
      <c r="C406" s="3">
        <v>7</v>
      </c>
      <c r="D406" s="3" t="s">
        <v>868</v>
      </c>
      <c r="E406" s="3">
        <v>2017</v>
      </c>
      <c r="F406" s="3">
        <v>3</v>
      </c>
      <c r="G406" s="3" t="s">
        <v>869</v>
      </c>
      <c r="H406" s="19">
        <v>2005</v>
      </c>
      <c r="I406" s="2" t="s">
        <v>2</v>
      </c>
    </row>
    <row r="407" spans="2:9" x14ac:dyDescent="0.25">
      <c r="B407" s="2" t="s">
        <v>413</v>
      </c>
      <c r="C407" s="3">
        <v>7</v>
      </c>
      <c r="D407" s="3" t="s">
        <v>868</v>
      </c>
      <c r="E407" s="3">
        <v>2017</v>
      </c>
      <c r="F407" s="3">
        <v>14</v>
      </c>
      <c r="G407" s="3" t="s">
        <v>861</v>
      </c>
      <c r="H407" s="19">
        <v>2009</v>
      </c>
      <c r="I407" s="2" t="s">
        <v>2</v>
      </c>
    </row>
    <row r="408" spans="2:9" x14ac:dyDescent="0.25">
      <c r="B408" s="2" t="s">
        <v>414</v>
      </c>
      <c r="C408" s="3">
        <v>9</v>
      </c>
      <c r="D408" s="3" t="s">
        <v>868</v>
      </c>
      <c r="E408" s="2">
        <v>2017</v>
      </c>
      <c r="F408" s="3">
        <v>6</v>
      </c>
      <c r="G408" s="3" t="s">
        <v>868</v>
      </c>
      <c r="H408" s="19">
        <v>2017</v>
      </c>
      <c r="I408" s="2" t="s">
        <v>2</v>
      </c>
    </row>
    <row r="409" spans="2:9" x14ac:dyDescent="0.25">
      <c r="B409" s="2" t="s">
        <v>415</v>
      </c>
      <c r="C409" s="3">
        <v>9</v>
      </c>
      <c r="D409" s="3" t="s">
        <v>868</v>
      </c>
      <c r="E409" s="2">
        <v>2017</v>
      </c>
      <c r="F409" s="3">
        <v>27</v>
      </c>
      <c r="G409" s="3" t="s">
        <v>866</v>
      </c>
      <c r="H409" s="19">
        <v>2017</v>
      </c>
      <c r="I409" s="2" t="s">
        <v>2</v>
      </c>
    </row>
    <row r="410" spans="2:9" x14ac:dyDescent="0.25">
      <c r="B410" s="2" t="s">
        <v>416</v>
      </c>
      <c r="C410" s="3">
        <v>9</v>
      </c>
      <c r="D410" s="3" t="s">
        <v>868</v>
      </c>
      <c r="E410" s="2">
        <v>2017</v>
      </c>
      <c r="F410" s="3">
        <v>10</v>
      </c>
      <c r="G410" s="3" t="s">
        <v>861</v>
      </c>
      <c r="H410" s="19">
        <v>2008</v>
      </c>
      <c r="I410" s="2" t="s">
        <v>2</v>
      </c>
    </row>
    <row r="411" spans="2:9" x14ac:dyDescent="0.25">
      <c r="B411" s="2" t="s">
        <v>417</v>
      </c>
      <c r="C411" s="3">
        <v>12</v>
      </c>
      <c r="D411" s="3" t="s">
        <v>868</v>
      </c>
      <c r="E411" s="2">
        <v>2017</v>
      </c>
      <c r="F411" s="3">
        <v>25</v>
      </c>
      <c r="G411" s="3" t="s">
        <v>865</v>
      </c>
      <c r="H411" s="19">
        <v>2015</v>
      </c>
      <c r="I411" s="2" t="s">
        <v>3</v>
      </c>
    </row>
    <row r="412" spans="2:9" x14ac:dyDescent="0.25">
      <c r="B412" s="2" t="s">
        <v>418</v>
      </c>
      <c r="C412" s="3">
        <v>12</v>
      </c>
      <c r="D412" s="3" t="s">
        <v>868</v>
      </c>
      <c r="E412" s="2">
        <v>2017</v>
      </c>
      <c r="F412" s="3">
        <v>22</v>
      </c>
      <c r="G412" s="3" t="s">
        <v>866</v>
      </c>
      <c r="H412" s="19">
        <v>2017</v>
      </c>
      <c r="I412" s="2" t="s">
        <v>3</v>
      </c>
    </row>
    <row r="413" spans="2:9" x14ac:dyDescent="0.25">
      <c r="B413" s="2" t="s">
        <v>419</v>
      </c>
      <c r="C413" s="3">
        <v>14</v>
      </c>
      <c r="D413" s="3" t="s">
        <v>868</v>
      </c>
      <c r="E413" s="3">
        <v>2017</v>
      </c>
      <c r="F413" s="3">
        <v>21</v>
      </c>
      <c r="G413" s="3" t="s">
        <v>856</v>
      </c>
      <c r="H413" s="19">
        <v>2015</v>
      </c>
      <c r="I413" s="2" t="s">
        <v>3</v>
      </c>
    </row>
    <row r="414" spans="2:9" x14ac:dyDescent="0.25">
      <c r="B414" s="2" t="s">
        <v>420</v>
      </c>
      <c r="C414" s="3">
        <v>14</v>
      </c>
      <c r="D414" s="3" t="s">
        <v>868</v>
      </c>
      <c r="E414" s="2">
        <v>2017</v>
      </c>
      <c r="F414" s="3">
        <v>20</v>
      </c>
      <c r="G414" s="3" t="s">
        <v>865</v>
      </c>
      <c r="H414" s="19">
        <v>2014</v>
      </c>
      <c r="I414" s="2" t="s">
        <v>2</v>
      </c>
    </row>
    <row r="415" spans="2:9" x14ac:dyDescent="0.25">
      <c r="B415" s="2" t="s">
        <v>421</v>
      </c>
      <c r="C415" s="3">
        <v>15</v>
      </c>
      <c r="D415" s="3" t="s">
        <v>868</v>
      </c>
      <c r="E415" s="2">
        <v>2017</v>
      </c>
      <c r="F415" s="3">
        <v>1</v>
      </c>
      <c r="G415" s="3" t="s">
        <v>866</v>
      </c>
      <c r="H415" s="19">
        <v>2017</v>
      </c>
      <c r="I415" s="2" t="s">
        <v>3</v>
      </c>
    </row>
    <row r="416" spans="2:9" x14ac:dyDescent="0.25">
      <c r="B416" s="2" t="s">
        <v>422</v>
      </c>
      <c r="C416" s="3">
        <v>16</v>
      </c>
      <c r="D416" s="3" t="s">
        <v>868</v>
      </c>
      <c r="E416" s="2">
        <v>2017</v>
      </c>
      <c r="F416" s="3">
        <v>26</v>
      </c>
      <c r="G416" s="3" t="s">
        <v>866</v>
      </c>
      <c r="H416" s="19">
        <v>2017</v>
      </c>
      <c r="I416" s="2" t="s">
        <v>2</v>
      </c>
    </row>
    <row r="417" spans="2:9" x14ac:dyDescent="0.25">
      <c r="B417" s="2" t="s">
        <v>423</v>
      </c>
      <c r="C417" s="3">
        <v>16</v>
      </c>
      <c r="D417" s="3" t="s">
        <v>868</v>
      </c>
      <c r="E417" s="2">
        <v>2017</v>
      </c>
      <c r="F417" s="3">
        <v>3</v>
      </c>
      <c r="G417" s="3" t="s">
        <v>868</v>
      </c>
      <c r="H417" s="19">
        <v>2017</v>
      </c>
      <c r="I417" s="2" t="s">
        <v>2</v>
      </c>
    </row>
    <row r="418" spans="2:9" x14ac:dyDescent="0.25">
      <c r="B418" s="2" t="s">
        <v>424</v>
      </c>
      <c r="C418" s="3">
        <v>16</v>
      </c>
      <c r="D418" s="3" t="s">
        <v>868</v>
      </c>
      <c r="E418" s="3">
        <v>2017</v>
      </c>
      <c r="F418" s="3">
        <v>8</v>
      </c>
      <c r="G418" s="3" t="s">
        <v>868</v>
      </c>
      <c r="H418" s="19">
        <v>2017</v>
      </c>
      <c r="I418" s="2" t="s">
        <v>2</v>
      </c>
    </row>
    <row r="419" spans="2:9" x14ac:dyDescent="0.25">
      <c r="B419" s="2" t="s">
        <v>425</v>
      </c>
      <c r="C419" s="3">
        <v>16</v>
      </c>
      <c r="D419" s="3" t="s">
        <v>868</v>
      </c>
      <c r="E419" s="3">
        <v>2017</v>
      </c>
      <c r="F419" s="3">
        <v>18</v>
      </c>
      <c r="G419" s="3" t="s">
        <v>866</v>
      </c>
      <c r="H419" s="19">
        <v>2017</v>
      </c>
      <c r="I419" s="2" t="s">
        <v>3</v>
      </c>
    </row>
    <row r="420" spans="2:9" x14ac:dyDescent="0.25">
      <c r="B420" s="2" t="s">
        <v>426</v>
      </c>
      <c r="C420" s="3">
        <v>16</v>
      </c>
      <c r="D420" s="3" t="s">
        <v>868</v>
      </c>
      <c r="E420" s="3">
        <v>2017</v>
      </c>
      <c r="F420" s="3">
        <v>18</v>
      </c>
      <c r="G420" s="3" t="s">
        <v>866</v>
      </c>
      <c r="H420" s="19">
        <v>2017</v>
      </c>
      <c r="I420" s="2" t="s">
        <v>3</v>
      </c>
    </row>
    <row r="421" spans="2:9" x14ac:dyDescent="0.25">
      <c r="B421" s="2" t="s">
        <v>427</v>
      </c>
      <c r="C421" s="3">
        <v>19</v>
      </c>
      <c r="D421" s="3" t="s">
        <v>868</v>
      </c>
      <c r="E421" s="3">
        <v>2017</v>
      </c>
      <c r="F421" s="3">
        <v>21</v>
      </c>
      <c r="G421" s="3" t="s">
        <v>865</v>
      </c>
      <c r="H421" s="19">
        <v>2017</v>
      </c>
      <c r="I421" s="2" t="s">
        <v>3</v>
      </c>
    </row>
    <row r="422" spans="2:9" x14ac:dyDescent="0.25">
      <c r="B422" s="2" t="s">
        <v>428</v>
      </c>
      <c r="C422" s="3">
        <v>19</v>
      </c>
      <c r="D422" s="3" t="s">
        <v>868</v>
      </c>
      <c r="E422" s="3">
        <v>2017</v>
      </c>
      <c r="F422" s="3">
        <v>18</v>
      </c>
      <c r="G422" s="3" t="s">
        <v>858</v>
      </c>
      <c r="H422" s="19">
        <v>2016</v>
      </c>
      <c r="I422" s="2" t="s">
        <v>3</v>
      </c>
    </row>
    <row r="423" spans="2:9" x14ac:dyDescent="0.25">
      <c r="B423" s="2" t="s">
        <v>429</v>
      </c>
      <c r="C423" s="3">
        <v>19</v>
      </c>
      <c r="D423" s="3" t="s">
        <v>868</v>
      </c>
      <c r="E423" s="2">
        <v>2017</v>
      </c>
      <c r="F423" s="3">
        <v>18</v>
      </c>
      <c r="G423" s="3" t="s">
        <v>865</v>
      </c>
      <c r="H423" s="19">
        <v>2017</v>
      </c>
      <c r="I423" s="2" t="s">
        <v>3</v>
      </c>
    </row>
    <row r="424" spans="2:9" x14ac:dyDescent="0.25">
      <c r="B424" s="2" t="s">
        <v>430</v>
      </c>
      <c r="C424" s="3">
        <v>20</v>
      </c>
      <c r="D424" s="3" t="s">
        <v>868</v>
      </c>
      <c r="E424" s="2">
        <v>2017</v>
      </c>
      <c r="F424" s="3">
        <v>3</v>
      </c>
      <c r="G424" s="3" t="s">
        <v>857</v>
      </c>
      <c r="H424" s="19">
        <v>2010</v>
      </c>
      <c r="I424" s="2" t="s">
        <v>2</v>
      </c>
    </row>
    <row r="425" spans="2:9" x14ac:dyDescent="0.25">
      <c r="B425" s="2" t="s">
        <v>431</v>
      </c>
      <c r="C425" s="3">
        <v>20</v>
      </c>
      <c r="D425" s="3" t="s">
        <v>868</v>
      </c>
      <c r="E425" s="2">
        <v>2017</v>
      </c>
      <c r="F425" s="3">
        <v>4</v>
      </c>
      <c r="G425" s="3" t="s">
        <v>861</v>
      </c>
      <c r="H425" s="19">
        <v>2015</v>
      </c>
      <c r="I425" s="2" t="s">
        <v>3</v>
      </c>
    </row>
    <row r="426" spans="2:9" x14ac:dyDescent="0.25">
      <c r="B426" s="2" t="s">
        <v>432</v>
      </c>
      <c r="C426" s="3">
        <v>20</v>
      </c>
      <c r="D426" s="3" t="s">
        <v>868</v>
      </c>
      <c r="E426" s="2">
        <v>2017</v>
      </c>
      <c r="F426" s="3">
        <v>10</v>
      </c>
      <c r="G426" s="3" t="s">
        <v>863</v>
      </c>
      <c r="H426" s="19">
        <v>2013</v>
      </c>
      <c r="I426" s="2" t="s">
        <v>3</v>
      </c>
    </row>
    <row r="427" spans="2:9" x14ac:dyDescent="0.25">
      <c r="B427" s="2" t="s">
        <v>433</v>
      </c>
      <c r="C427" s="3">
        <v>21</v>
      </c>
      <c r="D427" s="3" t="s">
        <v>868</v>
      </c>
      <c r="E427" s="2">
        <v>2017</v>
      </c>
      <c r="F427" s="3">
        <v>12</v>
      </c>
      <c r="G427" s="3" t="s">
        <v>866</v>
      </c>
      <c r="H427" s="19">
        <v>2017</v>
      </c>
      <c r="I427" s="2" t="s">
        <v>3</v>
      </c>
    </row>
    <row r="428" spans="2:9" x14ac:dyDescent="0.25">
      <c r="B428" s="2" t="s">
        <v>434</v>
      </c>
      <c r="C428" s="3">
        <v>21</v>
      </c>
      <c r="D428" s="3" t="s">
        <v>868</v>
      </c>
      <c r="E428" s="3">
        <v>2017</v>
      </c>
      <c r="F428" s="3">
        <v>2</v>
      </c>
      <c r="G428" s="3" t="s">
        <v>863</v>
      </c>
      <c r="H428" s="19">
        <v>2016</v>
      </c>
      <c r="I428" s="2" t="s">
        <v>2</v>
      </c>
    </row>
    <row r="429" spans="2:9" x14ac:dyDescent="0.25">
      <c r="B429" s="2" t="s">
        <v>435</v>
      </c>
      <c r="C429" s="3">
        <v>22</v>
      </c>
      <c r="D429" s="3" t="s">
        <v>868</v>
      </c>
      <c r="E429" s="2">
        <v>2017</v>
      </c>
      <c r="F429" s="3">
        <v>21</v>
      </c>
      <c r="G429" s="3" t="s">
        <v>866</v>
      </c>
      <c r="H429" s="19">
        <v>2017</v>
      </c>
      <c r="I429" s="2" t="s">
        <v>3</v>
      </c>
    </row>
    <row r="430" spans="2:9" x14ac:dyDescent="0.25">
      <c r="B430" s="2" t="s">
        <v>436</v>
      </c>
      <c r="C430" s="3">
        <v>23</v>
      </c>
      <c r="D430" s="3" t="s">
        <v>868</v>
      </c>
      <c r="E430" s="2">
        <v>2017</v>
      </c>
      <c r="F430" s="3">
        <v>19</v>
      </c>
      <c r="G430" s="3" t="s">
        <v>861</v>
      </c>
      <c r="H430" s="19">
        <v>2013</v>
      </c>
      <c r="I430" s="2" t="s">
        <v>2</v>
      </c>
    </row>
    <row r="431" spans="2:9" x14ac:dyDescent="0.25">
      <c r="B431" s="2" t="s">
        <v>437</v>
      </c>
      <c r="C431" s="3">
        <v>23</v>
      </c>
      <c r="D431" s="3" t="s">
        <v>868</v>
      </c>
      <c r="E431" s="2">
        <v>2017</v>
      </c>
      <c r="F431" s="3">
        <v>27</v>
      </c>
      <c r="G431" s="3" t="s">
        <v>866</v>
      </c>
      <c r="H431" s="19">
        <v>2017</v>
      </c>
      <c r="I431" s="2" t="s">
        <v>2</v>
      </c>
    </row>
    <row r="432" spans="2:9" x14ac:dyDescent="0.25">
      <c r="B432" s="2" t="s">
        <v>438</v>
      </c>
      <c r="C432" s="3">
        <v>26</v>
      </c>
      <c r="D432" s="3" t="s">
        <v>868</v>
      </c>
      <c r="E432" s="2">
        <v>2017</v>
      </c>
      <c r="F432" s="3">
        <v>25</v>
      </c>
      <c r="G432" s="3" t="s">
        <v>865</v>
      </c>
      <c r="H432" s="19">
        <v>2017</v>
      </c>
      <c r="I432" s="2" t="s">
        <v>3</v>
      </c>
    </row>
    <row r="433" spans="2:9" x14ac:dyDescent="0.25">
      <c r="B433" s="2" t="s">
        <v>439</v>
      </c>
      <c r="C433" s="3">
        <v>26</v>
      </c>
      <c r="D433" s="3" t="s">
        <v>868</v>
      </c>
      <c r="E433" s="3">
        <v>2017</v>
      </c>
      <c r="F433" s="3">
        <v>16</v>
      </c>
      <c r="G433" s="3" t="s">
        <v>868</v>
      </c>
      <c r="H433" s="19">
        <v>2017</v>
      </c>
      <c r="I433" s="2" t="s">
        <v>2</v>
      </c>
    </row>
    <row r="434" spans="2:9" x14ac:dyDescent="0.25">
      <c r="B434" s="2" t="s">
        <v>440</v>
      </c>
      <c r="C434" s="3">
        <v>26</v>
      </c>
      <c r="D434" s="3" t="s">
        <v>868</v>
      </c>
      <c r="E434" s="3">
        <v>2017</v>
      </c>
      <c r="F434" s="3">
        <v>21</v>
      </c>
      <c r="G434" s="3" t="s">
        <v>857</v>
      </c>
      <c r="H434" s="19">
        <v>2016</v>
      </c>
      <c r="I434" s="2" t="s">
        <v>3</v>
      </c>
    </row>
    <row r="435" spans="2:9" x14ac:dyDescent="0.25">
      <c r="B435" s="2" t="s">
        <v>441</v>
      </c>
      <c r="C435" s="3">
        <v>26</v>
      </c>
      <c r="D435" s="3" t="s">
        <v>868</v>
      </c>
      <c r="E435" s="3">
        <v>2017</v>
      </c>
      <c r="F435" s="3">
        <v>29</v>
      </c>
      <c r="G435" s="3" t="s">
        <v>866</v>
      </c>
      <c r="H435" s="19">
        <v>2017</v>
      </c>
      <c r="I435" s="2" t="s">
        <v>3</v>
      </c>
    </row>
    <row r="436" spans="2:9" x14ac:dyDescent="0.25">
      <c r="B436" s="2" t="s">
        <v>442</v>
      </c>
      <c r="C436" s="3">
        <v>27</v>
      </c>
      <c r="D436" s="3" t="s">
        <v>868</v>
      </c>
      <c r="E436" s="3">
        <v>2017</v>
      </c>
      <c r="F436" s="3">
        <v>5</v>
      </c>
      <c r="G436" s="3" t="s">
        <v>868</v>
      </c>
      <c r="H436" s="19">
        <v>2017</v>
      </c>
      <c r="I436" s="2" t="s">
        <v>2</v>
      </c>
    </row>
    <row r="437" spans="2:9" x14ac:dyDescent="0.25">
      <c r="B437" s="2" t="s">
        <v>443</v>
      </c>
      <c r="C437" s="3">
        <v>27</v>
      </c>
      <c r="D437" s="3" t="s">
        <v>868</v>
      </c>
      <c r="E437" s="3">
        <v>2017</v>
      </c>
      <c r="F437" s="3">
        <v>30</v>
      </c>
      <c r="G437" s="3" t="s">
        <v>866</v>
      </c>
      <c r="H437" s="19">
        <v>2015</v>
      </c>
      <c r="I437" s="2" t="s">
        <v>2</v>
      </c>
    </row>
    <row r="438" spans="2:9" x14ac:dyDescent="0.25">
      <c r="B438" s="2" t="s">
        <v>444</v>
      </c>
      <c r="C438" s="3">
        <v>28</v>
      </c>
      <c r="D438" s="3" t="s">
        <v>868</v>
      </c>
      <c r="E438" s="2">
        <v>2017</v>
      </c>
      <c r="F438" s="3">
        <v>1</v>
      </c>
      <c r="G438" s="3" t="s">
        <v>861</v>
      </c>
      <c r="H438" s="19">
        <v>2016</v>
      </c>
      <c r="I438" s="2" t="s">
        <v>2</v>
      </c>
    </row>
    <row r="439" spans="2:9" x14ac:dyDescent="0.25">
      <c r="B439" s="2" t="s">
        <v>445</v>
      </c>
      <c r="C439" s="3">
        <v>29</v>
      </c>
      <c r="D439" s="3" t="s">
        <v>868</v>
      </c>
      <c r="E439" s="2">
        <v>2017</v>
      </c>
      <c r="F439" s="3">
        <v>21</v>
      </c>
      <c r="G439" s="3" t="s">
        <v>870</v>
      </c>
      <c r="H439" s="19">
        <v>2009</v>
      </c>
      <c r="I439" s="2" t="s">
        <v>2</v>
      </c>
    </row>
    <row r="440" spans="2:9" x14ac:dyDescent="0.25">
      <c r="B440" s="2" t="s">
        <v>446</v>
      </c>
      <c r="C440" s="3">
        <v>29</v>
      </c>
      <c r="D440" s="3" t="s">
        <v>868</v>
      </c>
      <c r="E440" s="2">
        <v>2017</v>
      </c>
      <c r="F440" s="3">
        <v>8</v>
      </c>
      <c r="G440" s="3" t="s">
        <v>861</v>
      </c>
      <c r="H440" s="19">
        <v>2017</v>
      </c>
      <c r="I440" s="2" t="s">
        <v>2</v>
      </c>
    </row>
    <row r="441" spans="2:9" x14ac:dyDescent="0.25">
      <c r="B441" s="2" t="s">
        <v>447</v>
      </c>
      <c r="C441" s="3">
        <v>29</v>
      </c>
      <c r="D441" s="3" t="s">
        <v>868</v>
      </c>
      <c r="E441" s="2">
        <v>2017</v>
      </c>
      <c r="F441" s="3">
        <v>8</v>
      </c>
      <c r="G441" s="3" t="s">
        <v>861</v>
      </c>
      <c r="H441" s="19">
        <v>2017</v>
      </c>
      <c r="I441" s="2" t="s">
        <v>2</v>
      </c>
    </row>
    <row r="442" spans="2:9" x14ac:dyDescent="0.25">
      <c r="B442" s="2" t="s">
        <v>448</v>
      </c>
      <c r="C442" s="3">
        <v>30</v>
      </c>
      <c r="D442" s="3" t="s">
        <v>868</v>
      </c>
      <c r="E442" s="2">
        <v>2017</v>
      </c>
      <c r="F442" s="3">
        <v>26</v>
      </c>
      <c r="G442" s="3" t="s">
        <v>868</v>
      </c>
      <c r="H442" s="19">
        <v>2017</v>
      </c>
      <c r="I442" s="2" t="s">
        <v>2</v>
      </c>
    </row>
    <row r="443" spans="2:9" x14ac:dyDescent="0.25">
      <c r="B443" s="2" t="s">
        <v>449</v>
      </c>
      <c r="C443" s="3">
        <v>30</v>
      </c>
      <c r="D443" s="3" t="s">
        <v>868</v>
      </c>
      <c r="E443" s="2">
        <v>2017</v>
      </c>
      <c r="F443" s="3">
        <v>30</v>
      </c>
      <c r="G443" s="3" t="s">
        <v>868</v>
      </c>
      <c r="H443" s="19">
        <v>2017</v>
      </c>
      <c r="I443" s="2" t="s">
        <v>2</v>
      </c>
    </row>
    <row r="444" spans="2:9" x14ac:dyDescent="0.25">
      <c r="B444" s="1" t="s">
        <v>450</v>
      </c>
      <c r="C444" s="3">
        <v>3</v>
      </c>
      <c r="D444" s="3" t="s">
        <v>864</v>
      </c>
      <c r="E444" s="2">
        <v>2017</v>
      </c>
      <c r="F444" s="3">
        <v>4</v>
      </c>
      <c r="G444" s="3" t="s">
        <v>866</v>
      </c>
      <c r="H444" s="19">
        <v>2017</v>
      </c>
      <c r="I444" s="2" t="s">
        <v>3</v>
      </c>
    </row>
    <row r="445" spans="2:9" x14ac:dyDescent="0.25">
      <c r="B445" s="1" t="s">
        <v>451</v>
      </c>
      <c r="C445" s="3">
        <v>3</v>
      </c>
      <c r="D445" s="3" t="s">
        <v>864</v>
      </c>
      <c r="E445" s="2">
        <v>2017</v>
      </c>
      <c r="F445" s="3">
        <v>31</v>
      </c>
      <c r="G445" s="3" t="s">
        <v>867</v>
      </c>
      <c r="H445" s="19">
        <v>1955</v>
      </c>
      <c r="I445" s="2" t="s">
        <v>3</v>
      </c>
    </row>
    <row r="446" spans="2:9" x14ac:dyDescent="0.25">
      <c r="B446" s="1" t="s">
        <v>452</v>
      </c>
      <c r="C446" s="3">
        <v>3</v>
      </c>
      <c r="D446" s="3" t="s">
        <v>864</v>
      </c>
      <c r="E446" s="3">
        <v>2017</v>
      </c>
      <c r="F446" s="3">
        <v>7</v>
      </c>
      <c r="G446" s="3" t="s">
        <v>868</v>
      </c>
      <c r="H446" s="19">
        <v>2017</v>
      </c>
      <c r="I446" s="2" t="s">
        <v>3</v>
      </c>
    </row>
    <row r="447" spans="2:9" x14ac:dyDescent="0.25">
      <c r="B447" s="1" t="s">
        <v>453</v>
      </c>
      <c r="C447" s="3">
        <v>3</v>
      </c>
      <c r="D447" s="3" t="s">
        <v>864</v>
      </c>
      <c r="E447" s="3">
        <v>2017</v>
      </c>
      <c r="F447" s="3">
        <v>13</v>
      </c>
      <c r="G447" s="3" t="s">
        <v>868</v>
      </c>
      <c r="H447" s="19">
        <v>2017</v>
      </c>
      <c r="I447" s="2" t="s">
        <v>2</v>
      </c>
    </row>
    <row r="448" spans="2:9" x14ac:dyDescent="0.25">
      <c r="B448" s="1" t="s">
        <v>454</v>
      </c>
      <c r="C448" s="3">
        <v>4</v>
      </c>
      <c r="D448" s="3" t="s">
        <v>864</v>
      </c>
      <c r="E448" s="3">
        <v>2017</v>
      </c>
      <c r="F448" s="3">
        <v>12</v>
      </c>
      <c r="G448" s="3" t="s">
        <v>864</v>
      </c>
      <c r="H448" s="19">
        <v>2016</v>
      </c>
      <c r="I448" s="2" t="s">
        <v>3</v>
      </c>
    </row>
    <row r="449" spans="2:9" x14ac:dyDescent="0.25">
      <c r="B449" s="1" t="s">
        <v>455</v>
      </c>
      <c r="C449" s="3">
        <v>5</v>
      </c>
      <c r="D449" s="3" t="s">
        <v>864</v>
      </c>
      <c r="E449" s="3">
        <v>2017</v>
      </c>
      <c r="F449" s="3">
        <v>10</v>
      </c>
      <c r="G449" s="3" t="s">
        <v>865</v>
      </c>
      <c r="H449" s="19">
        <v>1994</v>
      </c>
      <c r="I449" s="2" t="s">
        <v>2</v>
      </c>
    </row>
    <row r="450" spans="2:9" x14ac:dyDescent="0.25">
      <c r="B450" s="1" t="s">
        <v>456</v>
      </c>
      <c r="C450" s="3">
        <v>6</v>
      </c>
      <c r="D450" s="3" t="s">
        <v>864</v>
      </c>
      <c r="E450" s="3">
        <v>2017</v>
      </c>
      <c r="F450" s="3">
        <v>31</v>
      </c>
      <c r="G450" s="3" t="s">
        <v>856</v>
      </c>
      <c r="H450" s="19">
        <v>1998</v>
      </c>
      <c r="I450" s="2" t="s">
        <v>3</v>
      </c>
    </row>
    <row r="451" spans="2:9" x14ac:dyDescent="0.25">
      <c r="B451" s="1" t="s">
        <v>457</v>
      </c>
      <c r="C451" s="3">
        <v>6</v>
      </c>
      <c r="D451" s="3" t="s">
        <v>864</v>
      </c>
      <c r="E451" s="2">
        <v>2017</v>
      </c>
      <c r="F451" s="3">
        <v>22</v>
      </c>
      <c r="G451" s="3" t="s">
        <v>869</v>
      </c>
      <c r="H451" s="19">
        <v>2010</v>
      </c>
      <c r="I451" s="2" t="s">
        <v>3</v>
      </c>
    </row>
    <row r="452" spans="2:9" x14ac:dyDescent="0.25">
      <c r="B452" s="1" t="s">
        <v>458</v>
      </c>
      <c r="C452" s="3">
        <v>6</v>
      </c>
      <c r="D452" s="3" t="s">
        <v>864</v>
      </c>
      <c r="E452" s="2">
        <v>2017</v>
      </c>
      <c r="F452" s="3">
        <v>14</v>
      </c>
      <c r="G452" s="3" t="s">
        <v>866</v>
      </c>
      <c r="H452" s="19">
        <v>2017</v>
      </c>
      <c r="I452" s="2" t="s">
        <v>3</v>
      </c>
    </row>
    <row r="453" spans="2:9" x14ac:dyDescent="0.25">
      <c r="B453" s="1" t="s">
        <v>459</v>
      </c>
      <c r="C453" s="3">
        <v>6</v>
      </c>
      <c r="D453" s="3" t="s">
        <v>864</v>
      </c>
      <c r="E453" s="2">
        <v>2017</v>
      </c>
      <c r="F453" s="3">
        <v>31</v>
      </c>
      <c r="G453" s="3" t="s">
        <v>870</v>
      </c>
      <c r="H453" s="19">
        <v>2016</v>
      </c>
      <c r="I453" s="2" t="s">
        <v>2</v>
      </c>
    </row>
    <row r="454" spans="2:9" x14ac:dyDescent="0.25">
      <c r="B454" s="1" t="s">
        <v>460</v>
      </c>
      <c r="C454" s="3">
        <v>7</v>
      </c>
      <c r="D454" s="3" t="s">
        <v>864</v>
      </c>
      <c r="E454" s="2">
        <v>2017</v>
      </c>
      <c r="F454" s="3">
        <v>7</v>
      </c>
      <c r="G454" s="3" t="s">
        <v>867</v>
      </c>
      <c r="H454" s="19">
        <v>2016</v>
      </c>
      <c r="I454" s="2" t="s">
        <v>3</v>
      </c>
    </row>
    <row r="455" spans="2:9" x14ac:dyDescent="0.25">
      <c r="B455" s="1" t="s">
        <v>461</v>
      </c>
      <c r="C455" s="3">
        <v>7</v>
      </c>
      <c r="D455" s="3" t="s">
        <v>864</v>
      </c>
      <c r="E455" s="2">
        <v>2017</v>
      </c>
      <c r="F455" s="3">
        <v>5</v>
      </c>
      <c r="G455" s="3" t="s">
        <v>869</v>
      </c>
      <c r="H455" s="19">
        <v>1983</v>
      </c>
      <c r="I455" s="2" t="s">
        <v>5</v>
      </c>
    </row>
    <row r="456" spans="2:9" x14ac:dyDescent="0.25">
      <c r="B456" s="1" t="s">
        <v>462</v>
      </c>
      <c r="C456" s="3">
        <v>7</v>
      </c>
      <c r="D456" s="3" t="s">
        <v>864</v>
      </c>
      <c r="E456" s="2">
        <v>2017</v>
      </c>
      <c r="F456" s="3">
        <v>15</v>
      </c>
      <c r="G456" s="3" t="s">
        <v>867</v>
      </c>
      <c r="H456" s="19">
        <v>1997</v>
      </c>
      <c r="I456" s="2" t="s">
        <v>2</v>
      </c>
    </row>
    <row r="457" spans="2:9" x14ac:dyDescent="0.25">
      <c r="B457" s="1" t="s">
        <v>463</v>
      </c>
      <c r="C457" s="3">
        <v>7</v>
      </c>
      <c r="D457" s="3" t="s">
        <v>864</v>
      </c>
      <c r="E457" s="2">
        <v>2017</v>
      </c>
      <c r="F457" s="3">
        <v>14</v>
      </c>
      <c r="G457" s="3" t="s">
        <v>858</v>
      </c>
      <c r="H457" s="19">
        <v>1986</v>
      </c>
      <c r="I457" s="2" t="s">
        <v>6</v>
      </c>
    </row>
    <row r="458" spans="2:9" x14ac:dyDescent="0.25">
      <c r="B458" s="1" t="s">
        <v>464</v>
      </c>
      <c r="C458" s="3">
        <v>7</v>
      </c>
      <c r="D458" s="3" t="s">
        <v>864</v>
      </c>
      <c r="E458" s="2">
        <v>2017</v>
      </c>
      <c r="F458" s="3">
        <v>15</v>
      </c>
      <c r="G458" s="3" t="s">
        <v>866</v>
      </c>
      <c r="H458" s="19">
        <v>2017</v>
      </c>
      <c r="I458" s="2" t="s">
        <v>3</v>
      </c>
    </row>
    <row r="459" spans="2:9" x14ac:dyDescent="0.25">
      <c r="B459" s="1" t="s">
        <v>465</v>
      </c>
      <c r="C459" s="3">
        <v>11</v>
      </c>
      <c r="D459" s="3" t="s">
        <v>864</v>
      </c>
      <c r="E459" s="3">
        <v>2017</v>
      </c>
      <c r="F459" s="3">
        <v>1</v>
      </c>
      <c r="G459" s="3" t="s">
        <v>868</v>
      </c>
      <c r="H459" s="19">
        <v>2017</v>
      </c>
      <c r="I459" s="2" t="s">
        <v>2</v>
      </c>
    </row>
    <row r="460" spans="2:9" x14ac:dyDescent="0.25">
      <c r="B460" s="1" t="s">
        <v>466</v>
      </c>
      <c r="C460" s="3">
        <v>12</v>
      </c>
      <c r="D460" s="3" t="s">
        <v>864</v>
      </c>
      <c r="E460" s="3">
        <v>2017</v>
      </c>
      <c r="F460" s="3">
        <v>18</v>
      </c>
      <c r="G460" s="3" t="s">
        <v>870</v>
      </c>
      <c r="H460" s="19">
        <v>2016</v>
      </c>
      <c r="I460" s="2" t="s">
        <v>3</v>
      </c>
    </row>
    <row r="461" spans="2:9" x14ac:dyDescent="0.25">
      <c r="B461" s="1" t="s">
        <v>467</v>
      </c>
      <c r="C461" s="3">
        <v>13</v>
      </c>
      <c r="D461" s="3" t="s">
        <v>864</v>
      </c>
      <c r="E461" s="3">
        <v>2017</v>
      </c>
      <c r="F461" s="3">
        <v>15</v>
      </c>
      <c r="G461" s="3" t="s">
        <v>856</v>
      </c>
      <c r="H461" s="19">
        <v>2017</v>
      </c>
      <c r="I461" s="2" t="s">
        <v>3</v>
      </c>
    </row>
    <row r="462" spans="2:9" x14ac:dyDescent="0.25">
      <c r="B462" s="1" t="s">
        <v>468</v>
      </c>
      <c r="C462" s="3">
        <v>13</v>
      </c>
      <c r="D462" s="3" t="s">
        <v>864</v>
      </c>
      <c r="E462" s="3">
        <v>2017</v>
      </c>
      <c r="F462" s="3">
        <v>29</v>
      </c>
      <c r="G462" s="3" t="s">
        <v>856</v>
      </c>
      <c r="H462" s="19">
        <v>2017</v>
      </c>
      <c r="I462" s="2" t="s">
        <v>3</v>
      </c>
    </row>
    <row r="463" spans="2:9" x14ac:dyDescent="0.25">
      <c r="B463" s="1" t="s">
        <v>469</v>
      </c>
      <c r="C463" s="3">
        <v>13</v>
      </c>
      <c r="D463" s="3" t="s">
        <v>864</v>
      </c>
      <c r="E463" s="3">
        <v>2017</v>
      </c>
      <c r="F463" s="3">
        <v>3</v>
      </c>
      <c r="G463" s="3" t="s">
        <v>868</v>
      </c>
      <c r="H463" s="19">
        <v>2017</v>
      </c>
      <c r="I463" s="2" t="s">
        <v>2</v>
      </c>
    </row>
    <row r="464" spans="2:9" x14ac:dyDescent="0.25">
      <c r="B464" s="1" t="s">
        <v>470</v>
      </c>
      <c r="C464" s="3">
        <v>14</v>
      </c>
      <c r="D464" s="3" t="s">
        <v>864</v>
      </c>
      <c r="E464" s="2">
        <v>2017</v>
      </c>
      <c r="F464" s="3">
        <v>9</v>
      </c>
      <c r="G464" s="3" t="s">
        <v>858</v>
      </c>
      <c r="H464" s="19">
        <v>2015</v>
      </c>
      <c r="I464" s="2" t="s">
        <v>3</v>
      </c>
    </row>
    <row r="465" spans="2:9" x14ac:dyDescent="0.25">
      <c r="B465" s="1" t="s">
        <v>471</v>
      </c>
      <c r="C465" s="3">
        <v>14</v>
      </c>
      <c r="D465" s="3" t="s">
        <v>864</v>
      </c>
      <c r="E465" s="2">
        <v>2017</v>
      </c>
      <c r="F465" s="3">
        <v>18</v>
      </c>
      <c r="G465" s="3" t="s">
        <v>866</v>
      </c>
      <c r="H465" s="19">
        <v>2017</v>
      </c>
      <c r="I465" s="2" t="s">
        <v>2</v>
      </c>
    </row>
    <row r="466" spans="2:9" x14ac:dyDescent="0.25">
      <c r="B466" s="1" t="s">
        <v>472</v>
      </c>
      <c r="C466" s="3">
        <v>17</v>
      </c>
      <c r="D466" s="3" t="s">
        <v>864</v>
      </c>
      <c r="E466" s="2">
        <v>2017</v>
      </c>
      <c r="F466" s="3">
        <v>2</v>
      </c>
      <c r="G466" s="3" t="s">
        <v>867</v>
      </c>
      <c r="H466" s="19">
        <v>2016</v>
      </c>
      <c r="I466" s="2" t="s">
        <v>3</v>
      </c>
    </row>
    <row r="467" spans="2:9" x14ac:dyDescent="0.25">
      <c r="B467" s="1" t="s">
        <v>473</v>
      </c>
      <c r="C467" s="3">
        <v>17</v>
      </c>
      <c r="D467" s="3" t="s">
        <v>864</v>
      </c>
      <c r="E467" s="2">
        <v>2017</v>
      </c>
      <c r="F467" s="3">
        <v>10</v>
      </c>
      <c r="G467" s="3" t="s">
        <v>864</v>
      </c>
      <c r="H467" s="19">
        <v>2017</v>
      </c>
      <c r="I467" s="2" t="s">
        <v>2</v>
      </c>
    </row>
    <row r="468" spans="2:9" x14ac:dyDescent="0.25">
      <c r="B468" s="1" t="s">
        <v>474</v>
      </c>
      <c r="C468" s="3">
        <v>17</v>
      </c>
      <c r="D468" s="3" t="s">
        <v>864</v>
      </c>
      <c r="E468" s="2">
        <v>2017</v>
      </c>
      <c r="F468" s="3">
        <v>23</v>
      </c>
      <c r="G468" s="3" t="s">
        <v>868</v>
      </c>
      <c r="H468" s="19">
        <v>2017</v>
      </c>
      <c r="I468" s="2" t="s">
        <v>3</v>
      </c>
    </row>
    <row r="469" spans="2:9" x14ac:dyDescent="0.25">
      <c r="B469" s="1" t="s">
        <v>475</v>
      </c>
      <c r="C469" s="3">
        <v>18</v>
      </c>
      <c r="D469" s="3" t="s">
        <v>864</v>
      </c>
      <c r="E469" s="2">
        <v>2017</v>
      </c>
      <c r="F469" s="3">
        <v>11</v>
      </c>
      <c r="G469" s="3" t="s">
        <v>866</v>
      </c>
      <c r="H469" s="19">
        <v>2017</v>
      </c>
      <c r="I469" s="2" t="s">
        <v>2</v>
      </c>
    </row>
    <row r="470" spans="2:9" x14ac:dyDescent="0.25">
      <c r="B470" s="1" t="s">
        <v>476</v>
      </c>
      <c r="C470" s="3">
        <v>18</v>
      </c>
      <c r="D470" s="3" t="s">
        <v>864</v>
      </c>
      <c r="E470" s="2">
        <v>2017</v>
      </c>
      <c r="F470" s="3">
        <v>8</v>
      </c>
      <c r="G470" s="3" t="s">
        <v>868</v>
      </c>
      <c r="H470" s="19">
        <v>2017</v>
      </c>
      <c r="I470" s="2" t="s">
        <v>3</v>
      </c>
    </row>
    <row r="471" spans="2:9" x14ac:dyDescent="0.25">
      <c r="B471" s="1" t="s">
        <v>477</v>
      </c>
      <c r="C471" s="3">
        <v>18</v>
      </c>
      <c r="D471" s="3" t="s">
        <v>864</v>
      </c>
      <c r="E471" s="2">
        <v>2017</v>
      </c>
      <c r="F471" s="3">
        <v>2</v>
      </c>
      <c r="G471" s="3" t="s">
        <v>857</v>
      </c>
      <c r="H471" s="19">
        <v>2016</v>
      </c>
      <c r="I471" s="2" t="s">
        <v>3</v>
      </c>
    </row>
    <row r="472" spans="2:9" x14ac:dyDescent="0.25">
      <c r="B472" s="1" t="s">
        <v>478</v>
      </c>
      <c r="C472" s="3">
        <v>19</v>
      </c>
      <c r="D472" s="3" t="s">
        <v>864</v>
      </c>
      <c r="E472" s="3">
        <v>2017</v>
      </c>
      <c r="F472" s="3">
        <v>28</v>
      </c>
      <c r="G472" s="3" t="s">
        <v>861</v>
      </c>
      <c r="H472" s="19">
        <v>2002</v>
      </c>
      <c r="I472" s="2" t="s">
        <v>3</v>
      </c>
    </row>
    <row r="473" spans="2:9" x14ac:dyDescent="0.25">
      <c r="B473" s="1" t="s">
        <v>479</v>
      </c>
      <c r="C473" s="3">
        <v>19</v>
      </c>
      <c r="D473" s="3" t="s">
        <v>864</v>
      </c>
      <c r="E473" s="3">
        <v>2017</v>
      </c>
      <c r="F473" s="3">
        <v>18</v>
      </c>
      <c r="G473" s="3" t="s">
        <v>861</v>
      </c>
      <c r="H473" s="19">
        <v>2017</v>
      </c>
      <c r="I473" s="2" t="s">
        <v>3</v>
      </c>
    </row>
    <row r="474" spans="2:9" x14ac:dyDescent="0.25">
      <c r="B474" s="1" t="s">
        <v>480</v>
      </c>
      <c r="C474" s="3">
        <v>19</v>
      </c>
      <c r="D474" s="3" t="s">
        <v>864</v>
      </c>
      <c r="E474" s="3">
        <v>2017</v>
      </c>
      <c r="F474" s="3">
        <v>2</v>
      </c>
      <c r="G474" s="3" t="s">
        <v>858</v>
      </c>
      <c r="H474" s="19">
        <v>2016</v>
      </c>
      <c r="I474" s="2" t="s">
        <v>2</v>
      </c>
    </row>
    <row r="475" spans="2:9" x14ac:dyDescent="0.25">
      <c r="B475" s="1" t="s">
        <v>481</v>
      </c>
      <c r="C475" s="3">
        <v>20</v>
      </c>
      <c r="D475" s="3" t="s">
        <v>864</v>
      </c>
      <c r="E475" s="3">
        <v>2017</v>
      </c>
      <c r="F475" s="3">
        <v>10</v>
      </c>
      <c r="G475" s="3" t="s">
        <v>864</v>
      </c>
      <c r="H475" s="19">
        <v>2017</v>
      </c>
      <c r="I475" s="2" t="s">
        <v>2</v>
      </c>
    </row>
    <row r="476" spans="2:9" x14ac:dyDescent="0.25">
      <c r="B476" s="1" t="s">
        <v>482</v>
      </c>
      <c r="C476" s="3">
        <v>20</v>
      </c>
      <c r="D476" s="3" t="s">
        <v>864</v>
      </c>
      <c r="E476" s="3">
        <v>2017</v>
      </c>
      <c r="F476" s="3">
        <v>21</v>
      </c>
      <c r="G476" s="3" t="s">
        <v>870</v>
      </c>
      <c r="H476" s="19">
        <v>2016</v>
      </c>
      <c r="I476" s="2" t="s">
        <v>3</v>
      </c>
    </row>
    <row r="477" spans="2:9" x14ac:dyDescent="0.25">
      <c r="B477" s="1" t="s">
        <v>483</v>
      </c>
      <c r="C477" s="3">
        <v>20</v>
      </c>
      <c r="D477" s="3" t="s">
        <v>864</v>
      </c>
      <c r="E477" s="2">
        <v>2017</v>
      </c>
      <c r="F477" s="3">
        <v>21</v>
      </c>
      <c r="G477" s="3" t="s">
        <v>868</v>
      </c>
      <c r="H477" s="19">
        <v>2017</v>
      </c>
      <c r="I477" s="2" t="s">
        <v>2</v>
      </c>
    </row>
    <row r="478" spans="2:9" x14ac:dyDescent="0.25">
      <c r="B478" s="1" t="s">
        <v>484</v>
      </c>
      <c r="C478" s="3">
        <v>20</v>
      </c>
      <c r="D478" s="3" t="s">
        <v>864</v>
      </c>
      <c r="E478" s="2">
        <v>2017</v>
      </c>
      <c r="F478" s="3">
        <v>4</v>
      </c>
      <c r="G478" s="3" t="s">
        <v>863</v>
      </c>
      <c r="H478" s="19">
        <v>2012</v>
      </c>
      <c r="I478" s="2" t="s">
        <v>2</v>
      </c>
    </row>
    <row r="479" spans="2:9" x14ac:dyDescent="0.25">
      <c r="B479" s="1" t="s">
        <v>485</v>
      </c>
      <c r="C479" s="3">
        <v>20</v>
      </c>
      <c r="D479" s="3" t="s">
        <v>864</v>
      </c>
      <c r="E479" s="2">
        <v>2017</v>
      </c>
      <c r="F479" s="3">
        <v>21</v>
      </c>
      <c r="G479" s="3" t="s">
        <v>867</v>
      </c>
      <c r="H479" s="19">
        <v>2016</v>
      </c>
      <c r="I479" s="2" t="s">
        <v>2</v>
      </c>
    </row>
    <row r="480" spans="2:9" x14ac:dyDescent="0.25">
      <c r="B480" s="1" t="s">
        <v>486</v>
      </c>
      <c r="C480" s="3">
        <v>20</v>
      </c>
      <c r="D480" s="3" t="s">
        <v>864</v>
      </c>
      <c r="E480" s="2">
        <v>2017</v>
      </c>
      <c r="F480" s="3">
        <v>24</v>
      </c>
      <c r="G480" s="3" t="s">
        <v>865</v>
      </c>
      <c r="H480" s="19">
        <v>2015</v>
      </c>
      <c r="I480" s="2" t="s">
        <v>2</v>
      </c>
    </row>
    <row r="481" spans="2:9" x14ac:dyDescent="0.25">
      <c r="B481" s="1" t="s">
        <v>487</v>
      </c>
      <c r="C481" s="3">
        <v>20</v>
      </c>
      <c r="D481" s="3" t="s">
        <v>864</v>
      </c>
      <c r="E481" s="2">
        <v>2017</v>
      </c>
      <c r="F481" s="3">
        <v>27</v>
      </c>
      <c r="G481" s="3" t="s">
        <v>868</v>
      </c>
      <c r="H481" s="19">
        <v>2017</v>
      </c>
      <c r="I481" s="2" t="s">
        <v>3</v>
      </c>
    </row>
    <row r="482" spans="2:9" x14ac:dyDescent="0.25">
      <c r="B482" s="1" t="s">
        <v>488</v>
      </c>
      <c r="C482" s="3">
        <v>20</v>
      </c>
      <c r="D482" s="3" t="s">
        <v>864</v>
      </c>
      <c r="E482" s="2">
        <v>2017</v>
      </c>
      <c r="F482" s="3">
        <v>14</v>
      </c>
      <c r="G482" s="3" t="s">
        <v>866</v>
      </c>
      <c r="H482" s="19">
        <v>2013</v>
      </c>
      <c r="I482" s="2" t="s">
        <v>2</v>
      </c>
    </row>
    <row r="483" spans="2:9" x14ac:dyDescent="0.25">
      <c r="B483" s="1" t="s">
        <v>489</v>
      </c>
      <c r="C483" s="3">
        <v>21</v>
      </c>
      <c r="D483" s="3" t="s">
        <v>864</v>
      </c>
      <c r="E483" s="2">
        <v>2017</v>
      </c>
      <c r="F483" s="3">
        <v>19</v>
      </c>
      <c r="G483" s="3" t="s">
        <v>868</v>
      </c>
      <c r="H483" s="19">
        <v>2017</v>
      </c>
      <c r="I483" s="2" t="s">
        <v>2</v>
      </c>
    </row>
    <row r="484" spans="2:9" x14ac:dyDescent="0.25">
      <c r="B484" s="1" t="s">
        <v>490</v>
      </c>
      <c r="C484" s="3">
        <v>21</v>
      </c>
      <c r="D484" s="3" t="s">
        <v>864</v>
      </c>
      <c r="E484" s="2">
        <v>2017</v>
      </c>
      <c r="F484" s="3">
        <v>15</v>
      </c>
      <c r="G484" s="3" t="s">
        <v>865</v>
      </c>
      <c r="H484" s="19">
        <v>2002</v>
      </c>
      <c r="I484" s="2" t="s">
        <v>2</v>
      </c>
    </row>
    <row r="485" spans="2:9" x14ac:dyDescent="0.25">
      <c r="B485" s="1" t="s">
        <v>491</v>
      </c>
      <c r="C485" s="3">
        <v>21</v>
      </c>
      <c r="D485" s="3" t="s">
        <v>864</v>
      </c>
      <c r="E485" s="3">
        <v>2017</v>
      </c>
      <c r="F485" s="3">
        <v>6</v>
      </c>
      <c r="G485" s="3" t="s">
        <v>856</v>
      </c>
      <c r="H485" s="19">
        <v>1994</v>
      </c>
      <c r="I485" s="2" t="s">
        <v>2</v>
      </c>
    </row>
    <row r="486" spans="2:9" x14ac:dyDescent="0.25">
      <c r="B486" s="1" t="s">
        <v>492</v>
      </c>
      <c r="C486" s="3">
        <v>21</v>
      </c>
      <c r="D486" s="3" t="s">
        <v>864</v>
      </c>
      <c r="E486" s="3">
        <v>2017</v>
      </c>
      <c r="F486" s="3">
        <v>27</v>
      </c>
      <c r="G486" s="3" t="s">
        <v>868</v>
      </c>
      <c r="H486" s="19">
        <v>2017</v>
      </c>
      <c r="I486" s="2" t="s">
        <v>2</v>
      </c>
    </row>
    <row r="487" spans="2:9" x14ac:dyDescent="0.25">
      <c r="B487" s="1" t="s">
        <v>493</v>
      </c>
      <c r="C487" s="3">
        <v>21</v>
      </c>
      <c r="D487" s="3" t="s">
        <v>864</v>
      </c>
      <c r="E487" s="3">
        <v>2017</v>
      </c>
      <c r="F487" s="3">
        <v>13</v>
      </c>
      <c r="G487" s="3" t="s">
        <v>865</v>
      </c>
      <c r="H487" s="19">
        <v>2017</v>
      </c>
      <c r="I487" s="2" t="s">
        <v>2</v>
      </c>
    </row>
    <row r="488" spans="2:9" x14ac:dyDescent="0.25">
      <c r="B488" s="1" t="s">
        <v>494</v>
      </c>
      <c r="C488" s="3">
        <v>21</v>
      </c>
      <c r="D488" s="3" t="s">
        <v>864</v>
      </c>
      <c r="E488" s="3">
        <v>2017</v>
      </c>
      <c r="F488" s="3">
        <v>15</v>
      </c>
      <c r="G488" s="3" t="s">
        <v>868</v>
      </c>
      <c r="H488" s="19">
        <v>2017</v>
      </c>
      <c r="I488" s="2" t="s">
        <v>3</v>
      </c>
    </row>
    <row r="489" spans="2:9" x14ac:dyDescent="0.25">
      <c r="B489" s="1" t="s">
        <v>495</v>
      </c>
      <c r="C489" s="3">
        <v>21</v>
      </c>
      <c r="D489" s="3" t="s">
        <v>864</v>
      </c>
      <c r="E489" s="3">
        <v>2017</v>
      </c>
      <c r="F489" s="3">
        <v>18</v>
      </c>
      <c r="G489" s="3" t="s">
        <v>868</v>
      </c>
      <c r="H489" s="19">
        <v>2017</v>
      </c>
      <c r="I489" s="2" t="s">
        <v>2</v>
      </c>
    </row>
    <row r="490" spans="2:9" x14ac:dyDescent="0.25">
      <c r="B490" s="1" t="s">
        <v>496</v>
      </c>
      <c r="C490" s="3">
        <v>24</v>
      </c>
      <c r="D490" s="3" t="s">
        <v>864</v>
      </c>
      <c r="E490" s="2">
        <v>2017</v>
      </c>
      <c r="F490" s="3">
        <v>26</v>
      </c>
      <c r="G490" s="3" t="s">
        <v>868</v>
      </c>
      <c r="H490" s="19">
        <v>2017</v>
      </c>
      <c r="I490" s="2" t="s">
        <v>3</v>
      </c>
    </row>
    <row r="491" spans="2:9" x14ac:dyDescent="0.25">
      <c r="B491" s="1" t="s">
        <v>497</v>
      </c>
      <c r="C491" s="3">
        <v>24</v>
      </c>
      <c r="D491" s="3" t="s">
        <v>864</v>
      </c>
      <c r="E491" s="2">
        <v>2017</v>
      </c>
      <c r="F491" s="3">
        <v>28</v>
      </c>
      <c r="G491" s="3" t="s">
        <v>868</v>
      </c>
      <c r="H491" s="19">
        <v>2017</v>
      </c>
      <c r="I491" s="2" t="s">
        <v>2</v>
      </c>
    </row>
    <row r="492" spans="2:9" x14ac:dyDescent="0.25">
      <c r="B492" s="1" t="s">
        <v>498</v>
      </c>
      <c r="C492" s="3">
        <v>24</v>
      </c>
      <c r="D492" s="3" t="s">
        <v>864</v>
      </c>
      <c r="E492" s="2">
        <v>2017</v>
      </c>
      <c r="F492" s="3">
        <v>28</v>
      </c>
      <c r="G492" s="3" t="s">
        <v>868</v>
      </c>
      <c r="H492" s="19">
        <v>2013</v>
      </c>
      <c r="I492" s="2" t="s">
        <v>3</v>
      </c>
    </row>
    <row r="493" spans="2:9" x14ac:dyDescent="0.25">
      <c r="B493" s="1" t="s">
        <v>499</v>
      </c>
      <c r="C493" s="3">
        <v>24</v>
      </c>
      <c r="D493" s="3" t="s">
        <v>864</v>
      </c>
      <c r="E493" s="2">
        <v>2017</v>
      </c>
      <c r="F493" s="3">
        <v>11</v>
      </c>
      <c r="G493" s="3" t="s">
        <v>870</v>
      </c>
      <c r="H493" s="19">
        <v>2016</v>
      </c>
      <c r="I493" s="2" t="s">
        <v>3</v>
      </c>
    </row>
    <row r="494" spans="2:9" x14ac:dyDescent="0.25">
      <c r="B494" s="1" t="s">
        <v>500</v>
      </c>
      <c r="C494" s="3">
        <v>24</v>
      </c>
      <c r="D494" s="3" t="s">
        <v>864</v>
      </c>
      <c r="E494" s="2">
        <v>2017</v>
      </c>
      <c r="F494" s="3">
        <v>14</v>
      </c>
      <c r="G494" s="3" t="s">
        <v>857</v>
      </c>
      <c r="H494" s="19">
        <v>2015</v>
      </c>
      <c r="I494" s="2" t="s">
        <v>2</v>
      </c>
    </row>
    <row r="495" spans="2:9" x14ac:dyDescent="0.25">
      <c r="B495" s="1" t="s">
        <v>501</v>
      </c>
      <c r="C495" s="3">
        <v>24</v>
      </c>
      <c r="D495" s="3" t="s">
        <v>864</v>
      </c>
      <c r="E495" s="2">
        <v>2017</v>
      </c>
      <c r="F495" s="3">
        <v>17</v>
      </c>
      <c r="G495" s="3" t="s">
        <v>865</v>
      </c>
      <c r="H495" s="19">
        <v>2013</v>
      </c>
      <c r="I495" s="2" t="s">
        <v>3</v>
      </c>
    </row>
    <row r="496" spans="2:9" x14ac:dyDescent="0.25">
      <c r="B496" s="1" t="s">
        <v>502</v>
      </c>
      <c r="C496" s="3">
        <v>24</v>
      </c>
      <c r="D496" s="3" t="s">
        <v>864</v>
      </c>
      <c r="E496" s="2">
        <v>2017</v>
      </c>
      <c r="F496" s="3">
        <v>21</v>
      </c>
      <c r="G496" s="3" t="s">
        <v>868</v>
      </c>
      <c r="H496" s="19">
        <v>2017</v>
      </c>
      <c r="I496" s="2" t="s">
        <v>2</v>
      </c>
    </row>
    <row r="497" spans="2:9" x14ac:dyDescent="0.25">
      <c r="B497" s="1" t="s">
        <v>503</v>
      </c>
      <c r="C497" s="3">
        <v>24</v>
      </c>
      <c r="D497" s="3" t="s">
        <v>864</v>
      </c>
      <c r="E497" s="2">
        <v>2017</v>
      </c>
      <c r="F497" s="3">
        <v>22</v>
      </c>
      <c r="G497" s="3" t="s">
        <v>866</v>
      </c>
      <c r="H497" s="19">
        <v>2017</v>
      </c>
      <c r="I497" s="2" t="s">
        <v>2</v>
      </c>
    </row>
    <row r="498" spans="2:9" x14ac:dyDescent="0.25">
      <c r="B498" s="1" t="s">
        <v>504</v>
      </c>
      <c r="C498" s="3">
        <v>24</v>
      </c>
      <c r="D498" s="3" t="s">
        <v>864</v>
      </c>
      <c r="E498" s="3">
        <v>2017</v>
      </c>
      <c r="F498" s="3">
        <v>21</v>
      </c>
      <c r="G498" s="3" t="s">
        <v>864</v>
      </c>
      <c r="H498" s="19">
        <v>2007</v>
      </c>
      <c r="I498" s="2" t="s">
        <v>2</v>
      </c>
    </row>
    <row r="499" spans="2:9" x14ac:dyDescent="0.25">
      <c r="B499" s="1" t="s">
        <v>505</v>
      </c>
      <c r="C499" s="3">
        <v>24</v>
      </c>
      <c r="D499" s="3" t="s">
        <v>864</v>
      </c>
      <c r="E499" s="3">
        <v>2017</v>
      </c>
      <c r="F499" s="3">
        <v>23</v>
      </c>
      <c r="G499" s="3" t="s">
        <v>868</v>
      </c>
      <c r="H499" s="19">
        <v>2016</v>
      </c>
      <c r="I499" s="2" t="s">
        <v>2</v>
      </c>
    </row>
    <row r="500" spans="2:9" x14ac:dyDescent="0.25">
      <c r="B500" s="1" t="s">
        <v>506</v>
      </c>
      <c r="C500" s="3">
        <v>24</v>
      </c>
      <c r="D500" s="3" t="s">
        <v>864</v>
      </c>
      <c r="E500" s="3">
        <v>2017</v>
      </c>
      <c r="F500" s="3">
        <v>20</v>
      </c>
      <c r="G500" s="3" t="s">
        <v>864</v>
      </c>
      <c r="H500" s="19">
        <v>2017</v>
      </c>
      <c r="I500" s="2" t="s">
        <v>2</v>
      </c>
    </row>
    <row r="501" spans="2:9" x14ac:dyDescent="0.25">
      <c r="B501" s="1" t="s">
        <v>507</v>
      </c>
      <c r="C501" s="3">
        <v>25</v>
      </c>
      <c r="D501" s="3" t="s">
        <v>864</v>
      </c>
      <c r="E501" s="3">
        <v>2017</v>
      </c>
      <c r="F501" s="3">
        <v>25</v>
      </c>
      <c r="G501" s="3" t="s">
        <v>856</v>
      </c>
      <c r="H501" s="19">
        <v>2017</v>
      </c>
      <c r="I501" s="2" t="s">
        <v>2</v>
      </c>
    </row>
    <row r="502" spans="2:9" x14ac:dyDescent="0.25">
      <c r="B502" s="1" t="s">
        <v>508</v>
      </c>
      <c r="C502" s="3">
        <v>25</v>
      </c>
      <c r="D502" s="3" t="s">
        <v>864</v>
      </c>
      <c r="E502" s="3">
        <v>2017</v>
      </c>
      <c r="F502" s="3">
        <v>19</v>
      </c>
      <c r="G502" s="3" t="s">
        <v>857</v>
      </c>
      <c r="H502" s="19">
        <v>2015</v>
      </c>
      <c r="I502" s="2" t="s">
        <v>3</v>
      </c>
    </row>
    <row r="503" spans="2:9" x14ac:dyDescent="0.25">
      <c r="B503" s="1" t="s">
        <v>509</v>
      </c>
      <c r="C503" s="3">
        <v>25</v>
      </c>
      <c r="D503" s="3" t="s">
        <v>864</v>
      </c>
      <c r="E503" s="2">
        <v>2017</v>
      </c>
      <c r="F503" s="3">
        <v>4</v>
      </c>
      <c r="G503" s="3" t="s">
        <v>864</v>
      </c>
      <c r="H503" s="19">
        <v>2017</v>
      </c>
      <c r="I503" s="2" t="s">
        <v>2</v>
      </c>
    </row>
    <row r="504" spans="2:9" x14ac:dyDescent="0.25">
      <c r="B504" s="1" t="s">
        <v>510</v>
      </c>
      <c r="C504" s="3">
        <v>25</v>
      </c>
      <c r="D504" s="3" t="s">
        <v>864</v>
      </c>
      <c r="E504" s="2">
        <v>2017</v>
      </c>
      <c r="F504" s="3">
        <v>10</v>
      </c>
      <c r="G504" s="3" t="s">
        <v>867</v>
      </c>
      <c r="H504" s="19">
        <v>2017</v>
      </c>
      <c r="I504" s="2" t="s">
        <v>3</v>
      </c>
    </row>
    <row r="505" spans="2:9" x14ac:dyDescent="0.25">
      <c r="B505" s="1" t="s">
        <v>511</v>
      </c>
      <c r="C505" s="3">
        <v>27</v>
      </c>
      <c r="D505" s="3" t="s">
        <v>864</v>
      </c>
      <c r="E505" s="2">
        <v>2017</v>
      </c>
      <c r="F505" s="3">
        <v>21</v>
      </c>
      <c r="G505" s="3" t="s">
        <v>864</v>
      </c>
      <c r="H505" s="19">
        <v>2017</v>
      </c>
      <c r="I505" s="2" t="s">
        <v>3</v>
      </c>
    </row>
    <row r="506" spans="2:9" x14ac:dyDescent="0.25">
      <c r="B506" s="1" t="s">
        <v>512</v>
      </c>
      <c r="C506" s="3">
        <v>28</v>
      </c>
      <c r="D506" s="3" t="s">
        <v>864</v>
      </c>
      <c r="E506" s="2">
        <v>2017</v>
      </c>
      <c r="F506" s="3">
        <v>25</v>
      </c>
      <c r="G506" s="3" t="s">
        <v>865</v>
      </c>
      <c r="H506" s="19">
        <v>2015</v>
      </c>
      <c r="I506" s="2" t="s">
        <v>3</v>
      </c>
    </row>
    <row r="507" spans="2:9" x14ac:dyDescent="0.25">
      <c r="B507" s="1" t="s">
        <v>513</v>
      </c>
      <c r="C507" s="3">
        <v>31</v>
      </c>
      <c r="D507" s="3" t="s">
        <v>864</v>
      </c>
      <c r="E507" s="2">
        <v>2017</v>
      </c>
      <c r="F507" s="3">
        <v>9</v>
      </c>
      <c r="G507" s="3" t="s">
        <v>864</v>
      </c>
      <c r="H507" s="19">
        <v>2017</v>
      </c>
      <c r="I507" s="2" t="s">
        <v>3</v>
      </c>
    </row>
    <row r="508" spans="2:9" x14ac:dyDescent="0.25">
      <c r="B508" s="1" t="s">
        <v>514</v>
      </c>
      <c r="C508" s="3">
        <v>31</v>
      </c>
      <c r="D508" s="3" t="s">
        <v>864</v>
      </c>
      <c r="E508" s="2">
        <v>2017</v>
      </c>
      <c r="F508" s="3">
        <v>10</v>
      </c>
      <c r="G508" s="3" t="s">
        <v>864</v>
      </c>
      <c r="H508" s="19">
        <v>2017</v>
      </c>
      <c r="I508" s="2" t="s">
        <v>3</v>
      </c>
    </row>
    <row r="509" spans="2:9" x14ac:dyDescent="0.25">
      <c r="B509" s="1" t="s">
        <v>515</v>
      </c>
      <c r="C509" s="3">
        <v>31</v>
      </c>
      <c r="D509" s="3" t="s">
        <v>864</v>
      </c>
      <c r="E509" s="2">
        <v>2017</v>
      </c>
      <c r="F509" s="3">
        <v>5</v>
      </c>
      <c r="G509" s="3" t="s">
        <v>868</v>
      </c>
      <c r="H509" s="19">
        <v>2016</v>
      </c>
      <c r="I509" s="2" t="s">
        <v>3</v>
      </c>
    </row>
    <row r="510" spans="2:9" x14ac:dyDescent="0.25">
      <c r="B510" s="1" t="s">
        <v>516</v>
      </c>
      <c r="C510" s="3">
        <v>1</v>
      </c>
      <c r="D510" s="3" t="s">
        <v>869</v>
      </c>
      <c r="E510" s="3">
        <v>2017</v>
      </c>
      <c r="F510" s="3">
        <v>8</v>
      </c>
      <c r="G510" s="3" t="s">
        <v>868</v>
      </c>
      <c r="H510" s="21">
        <v>2017</v>
      </c>
      <c r="I510" s="3" t="s">
        <v>3</v>
      </c>
    </row>
    <row r="511" spans="2:9" x14ac:dyDescent="0.25">
      <c r="B511" s="1" t="s">
        <v>517</v>
      </c>
      <c r="C511" s="3">
        <v>2</v>
      </c>
      <c r="D511" s="3" t="s">
        <v>869</v>
      </c>
      <c r="E511" s="3">
        <v>2017</v>
      </c>
      <c r="F511" s="3">
        <v>25</v>
      </c>
      <c r="G511" s="3" t="s">
        <v>864</v>
      </c>
      <c r="H511" s="19">
        <v>2017</v>
      </c>
      <c r="I511" s="2" t="s">
        <v>2</v>
      </c>
    </row>
    <row r="512" spans="2:9" x14ac:dyDescent="0.25">
      <c r="B512" s="1" t="s">
        <v>518</v>
      </c>
      <c r="C512" s="3">
        <v>2</v>
      </c>
      <c r="D512" s="3" t="s">
        <v>869</v>
      </c>
      <c r="E512" s="3">
        <v>2017</v>
      </c>
      <c r="F512" s="3">
        <v>24</v>
      </c>
      <c r="G512" s="3" t="s">
        <v>864</v>
      </c>
      <c r="H512" s="19">
        <v>2017</v>
      </c>
      <c r="I512" s="2" t="s">
        <v>3</v>
      </c>
    </row>
    <row r="513" spans="2:9" x14ac:dyDescent="0.25">
      <c r="B513" s="1" t="s">
        <v>519</v>
      </c>
      <c r="C513" s="3">
        <v>2</v>
      </c>
      <c r="D513" s="3" t="s">
        <v>869</v>
      </c>
      <c r="E513" s="3">
        <v>2017</v>
      </c>
      <c r="F513" s="3">
        <v>5</v>
      </c>
      <c r="G513" s="3" t="s">
        <v>861</v>
      </c>
      <c r="H513" s="19">
        <v>2016</v>
      </c>
      <c r="I513" s="2" t="s">
        <v>2</v>
      </c>
    </row>
    <row r="514" spans="2:9" x14ac:dyDescent="0.25">
      <c r="B514" s="1" t="s">
        <v>520</v>
      </c>
      <c r="C514" s="3">
        <v>3</v>
      </c>
      <c r="D514" s="3" t="s">
        <v>869</v>
      </c>
      <c r="E514" s="3">
        <v>2017</v>
      </c>
      <c r="F514" s="3">
        <v>10</v>
      </c>
      <c r="G514" s="3" t="s">
        <v>869</v>
      </c>
      <c r="H514" s="19">
        <v>1980</v>
      </c>
      <c r="I514" s="2" t="s">
        <v>3</v>
      </c>
    </row>
    <row r="515" spans="2:9" x14ac:dyDescent="0.25">
      <c r="B515" s="1" t="s">
        <v>521</v>
      </c>
      <c r="C515" s="3">
        <v>3</v>
      </c>
      <c r="D515" s="3" t="s">
        <v>869</v>
      </c>
      <c r="E515" s="2">
        <v>2017</v>
      </c>
      <c r="F515" s="3">
        <v>11</v>
      </c>
      <c r="G515" s="3" t="s">
        <v>881</v>
      </c>
      <c r="H515" s="19">
        <v>2017</v>
      </c>
      <c r="I515" s="2" t="s">
        <v>3</v>
      </c>
    </row>
    <row r="516" spans="2:9" x14ac:dyDescent="0.25">
      <c r="B516" s="1" t="s">
        <v>522</v>
      </c>
      <c r="C516" s="3">
        <v>4</v>
      </c>
      <c r="D516" s="3" t="s">
        <v>869</v>
      </c>
      <c r="E516" s="2">
        <v>2017</v>
      </c>
      <c r="F516" s="3">
        <v>25</v>
      </c>
      <c r="G516" s="3" t="s">
        <v>866</v>
      </c>
      <c r="H516" s="19">
        <v>2017</v>
      </c>
      <c r="I516" s="2" t="s">
        <v>3</v>
      </c>
    </row>
    <row r="517" spans="2:9" x14ac:dyDescent="0.25">
      <c r="B517" s="1" t="s">
        <v>523</v>
      </c>
      <c r="C517" s="3">
        <v>4</v>
      </c>
      <c r="D517" s="3" t="s">
        <v>869</v>
      </c>
      <c r="E517" s="2">
        <v>2017</v>
      </c>
      <c r="F517" s="3">
        <v>21</v>
      </c>
      <c r="G517" s="3" t="s">
        <v>861</v>
      </c>
      <c r="H517" s="19">
        <v>2016</v>
      </c>
      <c r="I517" s="2" t="s">
        <v>3</v>
      </c>
    </row>
    <row r="518" spans="2:9" x14ac:dyDescent="0.25">
      <c r="B518" s="1" t="s">
        <v>524</v>
      </c>
      <c r="C518" s="3">
        <v>4</v>
      </c>
      <c r="D518" s="3" t="s">
        <v>869</v>
      </c>
      <c r="E518" s="2">
        <v>2017</v>
      </c>
      <c r="F518" s="3">
        <v>10</v>
      </c>
      <c r="G518" s="3" t="s">
        <v>864</v>
      </c>
      <c r="H518" s="19">
        <v>2017</v>
      </c>
      <c r="I518" s="2" t="s">
        <v>2</v>
      </c>
    </row>
    <row r="519" spans="2:9" x14ac:dyDescent="0.25">
      <c r="B519" s="1" t="s">
        <v>525</v>
      </c>
      <c r="C519" s="3">
        <v>4</v>
      </c>
      <c r="D519" s="3" t="s">
        <v>869</v>
      </c>
      <c r="E519" s="2">
        <v>2017</v>
      </c>
      <c r="F519" s="3">
        <v>3</v>
      </c>
      <c r="G519" s="3" t="s">
        <v>864</v>
      </c>
      <c r="H519" s="19">
        <v>2017</v>
      </c>
      <c r="I519" s="2" t="s">
        <v>3</v>
      </c>
    </row>
    <row r="520" spans="2:9" x14ac:dyDescent="0.25">
      <c r="B520" s="1" t="s">
        <v>526</v>
      </c>
      <c r="C520" s="3">
        <v>7</v>
      </c>
      <c r="D520" s="3" t="s">
        <v>869</v>
      </c>
      <c r="E520" s="2">
        <v>2017</v>
      </c>
      <c r="F520" s="3">
        <v>2</v>
      </c>
      <c r="G520" s="3" t="s">
        <v>864</v>
      </c>
      <c r="H520" s="19">
        <v>2017</v>
      </c>
      <c r="I520" s="2" t="s">
        <v>3</v>
      </c>
    </row>
    <row r="521" spans="2:9" x14ac:dyDescent="0.25">
      <c r="B521" s="1" t="s">
        <v>527</v>
      </c>
      <c r="C521" s="3">
        <v>7</v>
      </c>
      <c r="D521" s="3" t="s">
        <v>869</v>
      </c>
      <c r="E521" s="2">
        <v>2017</v>
      </c>
      <c r="F521" s="3">
        <v>4</v>
      </c>
      <c r="G521" s="3" t="s">
        <v>856</v>
      </c>
      <c r="H521" s="19">
        <v>2017</v>
      </c>
      <c r="I521" s="2" t="s">
        <v>2</v>
      </c>
    </row>
    <row r="522" spans="2:9" x14ac:dyDescent="0.25">
      <c r="B522" s="1" t="s">
        <v>528</v>
      </c>
      <c r="C522" s="3">
        <v>7</v>
      </c>
      <c r="D522" s="3" t="s">
        <v>869</v>
      </c>
      <c r="E522" s="3">
        <v>2017</v>
      </c>
      <c r="F522" s="3">
        <v>28</v>
      </c>
      <c r="G522" s="3" t="s">
        <v>865</v>
      </c>
      <c r="H522" s="19">
        <v>2017</v>
      </c>
      <c r="I522" s="2" t="s">
        <v>3</v>
      </c>
    </row>
    <row r="523" spans="2:9" x14ac:dyDescent="0.25">
      <c r="B523" s="1" t="s">
        <v>529</v>
      </c>
      <c r="C523" s="3">
        <v>8</v>
      </c>
      <c r="D523" s="3" t="s">
        <v>869</v>
      </c>
      <c r="E523" s="3">
        <v>2017</v>
      </c>
      <c r="F523" s="3">
        <v>30</v>
      </c>
      <c r="G523" s="3" t="s">
        <v>856</v>
      </c>
      <c r="H523" s="19">
        <v>2017</v>
      </c>
      <c r="I523" s="2" t="s">
        <v>3</v>
      </c>
    </row>
    <row r="524" spans="2:9" x14ac:dyDescent="0.25">
      <c r="B524" s="1" t="s">
        <v>530</v>
      </c>
      <c r="C524" s="3">
        <v>8</v>
      </c>
      <c r="D524" s="3" t="s">
        <v>869</v>
      </c>
      <c r="E524" s="3">
        <v>2017</v>
      </c>
      <c r="F524" s="3">
        <v>24</v>
      </c>
      <c r="G524" s="3" t="s">
        <v>864</v>
      </c>
      <c r="H524" s="19">
        <v>2017</v>
      </c>
      <c r="I524" s="2" t="s">
        <v>3</v>
      </c>
    </row>
    <row r="525" spans="2:9" x14ac:dyDescent="0.25">
      <c r="B525" s="1" t="s">
        <v>531</v>
      </c>
      <c r="C525" s="3">
        <v>8</v>
      </c>
      <c r="D525" s="3" t="s">
        <v>869</v>
      </c>
      <c r="E525" s="3">
        <v>2017</v>
      </c>
      <c r="F525" s="3">
        <v>19</v>
      </c>
      <c r="G525" s="3" t="s">
        <v>864</v>
      </c>
      <c r="H525" s="19">
        <v>2017</v>
      </c>
      <c r="I525" s="2" t="s">
        <v>2</v>
      </c>
    </row>
    <row r="526" spans="2:9" x14ac:dyDescent="0.25">
      <c r="B526" s="1" t="s">
        <v>532</v>
      </c>
      <c r="C526" s="3">
        <v>8</v>
      </c>
      <c r="D526" s="3" t="s">
        <v>869</v>
      </c>
      <c r="E526" s="3">
        <v>2017</v>
      </c>
      <c r="F526" s="3">
        <v>26</v>
      </c>
      <c r="G526" s="3" t="s">
        <v>868</v>
      </c>
      <c r="H526" s="19">
        <v>2016</v>
      </c>
      <c r="I526" s="2" t="s">
        <v>3</v>
      </c>
    </row>
    <row r="527" spans="2:9" x14ac:dyDescent="0.25">
      <c r="B527" s="1" t="s">
        <v>533</v>
      </c>
      <c r="C527" s="3">
        <v>8</v>
      </c>
      <c r="D527" s="3" t="s">
        <v>869</v>
      </c>
      <c r="E527" s="2">
        <v>2017</v>
      </c>
      <c r="F527" s="3">
        <v>26</v>
      </c>
      <c r="G527" s="3" t="s">
        <v>868</v>
      </c>
      <c r="H527" s="19">
        <v>2016</v>
      </c>
      <c r="I527" s="2" t="s">
        <v>3</v>
      </c>
    </row>
    <row r="528" spans="2:9" x14ac:dyDescent="0.25">
      <c r="B528" s="1" t="s">
        <v>534</v>
      </c>
      <c r="C528" s="3">
        <v>8</v>
      </c>
      <c r="D528" s="3" t="s">
        <v>869</v>
      </c>
      <c r="E528" s="2">
        <v>2017</v>
      </c>
      <c r="F528" s="3">
        <v>27</v>
      </c>
      <c r="G528" s="3" t="s">
        <v>864</v>
      </c>
      <c r="H528" s="19">
        <v>2017</v>
      </c>
      <c r="I528" s="2" t="s">
        <v>2</v>
      </c>
    </row>
    <row r="529" spans="2:9" x14ac:dyDescent="0.25">
      <c r="B529" s="1" t="s">
        <v>535</v>
      </c>
      <c r="C529" s="3">
        <v>8</v>
      </c>
      <c r="D529" s="3" t="s">
        <v>869</v>
      </c>
      <c r="E529" s="2">
        <v>2017</v>
      </c>
      <c r="F529" s="3">
        <v>26</v>
      </c>
      <c r="G529" s="3" t="s">
        <v>864</v>
      </c>
      <c r="H529" s="19">
        <v>2017</v>
      </c>
      <c r="I529" s="2" t="s">
        <v>2</v>
      </c>
    </row>
    <row r="530" spans="2:9" x14ac:dyDescent="0.25">
      <c r="B530" s="1" t="s">
        <v>536</v>
      </c>
      <c r="C530" s="3">
        <v>9</v>
      </c>
      <c r="D530" s="3" t="s">
        <v>869</v>
      </c>
      <c r="E530" s="2">
        <v>2017</v>
      </c>
      <c r="F530" s="3">
        <v>21</v>
      </c>
      <c r="G530" s="3" t="s">
        <v>863</v>
      </c>
      <c r="H530" s="19">
        <v>2002</v>
      </c>
      <c r="I530" s="2" t="s">
        <v>3</v>
      </c>
    </row>
    <row r="531" spans="2:9" x14ac:dyDescent="0.25">
      <c r="B531" s="1" t="s">
        <v>537</v>
      </c>
      <c r="C531" s="3">
        <v>11</v>
      </c>
      <c r="D531" s="3" t="s">
        <v>869</v>
      </c>
      <c r="E531" s="2">
        <v>2017</v>
      </c>
      <c r="F531" s="3">
        <v>13</v>
      </c>
      <c r="G531" s="3" t="s">
        <v>864</v>
      </c>
      <c r="H531" s="19">
        <v>2017</v>
      </c>
      <c r="I531" s="2" t="s">
        <v>3</v>
      </c>
    </row>
    <row r="532" spans="2:9" x14ac:dyDescent="0.25">
      <c r="B532" s="1" t="s">
        <v>538</v>
      </c>
      <c r="C532" s="3">
        <v>11</v>
      </c>
      <c r="D532" s="3" t="s">
        <v>869</v>
      </c>
      <c r="E532" s="2">
        <v>2017</v>
      </c>
      <c r="F532" s="3">
        <v>8</v>
      </c>
      <c r="G532" s="3" t="s">
        <v>869</v>
      </c>
      <c r="H532" s="19">
        <v>2017</v>
      </c>
      <c r="I532" s="2" t="s">
        <v>2</v>
      </c>
    </row>
    <row r="533" spans="2:9" x14ac:dyDescent="0.25">
      <c r="B533" s="1" t="s">
        <v>539</v>
      </c>
      <c r="C533" s="3">
        <v>14</v>
      </c>
      <c r="D533" s="3" t="s">
        <v>869</v>
      </c>
      <c r="E533" s="2">
        <v>2017</v>
      </c>
      <c r="F533" s="3">
        <v>30</v>
      </c>
      <c r="G533" s="3" t="s">
        <v>869</v>
      </c>
      <c r="H533" s="19">
        <v>2011</v>
      </c>
      <c r="I533" s="2" t="s">
        <v>2</v>
      </c>
    </row>
    <row r="534" spans="2:9" x14ac:dyDescent="0.25">
      <c r="B534" s="1" t="s">
        <v>540</v>
      </c>
      <c r="C534" s="3">
        <v>14</v>
      </c>
      <c r="D534" s="3" t="s">
        <v>869</v>
      </c>
      <c r="E534" s="3">
        <v>2017</v>
      </c>
      <c r="F534" s="3">
        <v>20</v>
      </c>
      <c r="G534" s="3" t="s">
        <v>856</v>
      </c>
      <c r="H534" s="19">
        <v>2012</v>
      </c>
      <c r="I534" s="2" t="s">
        <v>3</v>
      </c>
    </row>
    <row r="535" spans="2:9" x14ac:dyDescent="0.25">
      <c r="B535" s="1" t="s">
        <v>541</v>
      </c>
      <c r="C535" s="3">
        <v>14</v>
      </c>
      <c r="D535" s="3" t="s">
        <v>869</v>
      </c>
      <c r="E535" s="3">
        <v>2017</v>
      </c>
      <c r="F535" s="3">
        <v>17</v>
      </c>
      <c r="G535" s="3" t="s">
        <v>867</v>
      </c>
      <c r="H535" s="19">
        <v>2017</v>
      </c>
      <c r="I535" s="2" t="s">
        <v>3</v>
      </c>
    </row>
    <row r="536" spans="2:9" x14ac:dyDescent="0.25">
      <c r="B536" s="1" t="s">
        <v>542</v>
      </c>
      <c r="C536" s="3">
        <v>15</v>
      </c>
      <c r="D536" s="3" t="s">
        <v>869</v>
      </c>
      <c r="E536" s="3">
        <v>2017</v>
      </c>
      <c r="F536" s="3">
        <v>15</v>
      </c>
      <c r="G536" s="3" t="s">
        <v>864</v>
      </c>
      <c r="H536" s="19">
        <v>2017</v>
      </c>
      <c r="I536" s="2" t="s">
        <v>3</v>
      </c>
    </row>
    <row r="537" spans="2:9" x14ac:dyDescent="0.25">
      <c r="B537" s="1" t="s">
        <v>543</v>
      </c>
      <c r="C537" s="3">
        <v>16</v>
      </c>
      <c r="D537" s="3" t="s">
        <v>869</v>
      </c>
      <c r="E537" s="3">
        <v>2017</v>
      </c>
      <c r="F537" s="3">
        <v>24</v>
      </c>
      <c r="G537" s="3" t="s">
        <v>861</v>
      </c>
      <c r="H537" s="19">
        <v>2001</v>
      </c>
      <c r="I537" s="2" t="s">
        <v>2</v>
      </c>
    </row>
    <row r="538" spans="2:9" x14ac:dyDescent="0.25">
      <c r="B538" s="1" t="s">
        <v>544</v>
      </c>
      <c r="C538" s="3">
        <v>16</v>
      </c>
      <c r="D538" s="3" t="s">
        <v>869</v>
      </c>
      <c r="E538" s="3">
        <v>2017</v>
      </c>
      <c r="F538" s="3">
        <v>5</v>
      </c>
      <c r="G538" s="3" t="s">
        <v>869</v>
      </c>
      <c r="H538" s="19">
        <v>2017</v>
      </c>
      <c r="I538" s="2" t="s">
        <v>3</v>
      </c>
    </row>
    <row r="539" spans="2:9" x14ac:dyDescent="0.25">
      <c r="B539" s="1" t="s">
        <v>545</v>
      </c>
      <c r="C539" s="3">
        <v>16</v>
      </c>
      <c r="D539" s="3" t="s">
        <v>869</v>
      </c>
      <c r="E539" s="2">
        <v>2017</v>
      </c>
      <c r="F539" s="3">
        <v>2</v>
      </c>
      <c r="G539" s="3" t="s">
        <v>863</v>
      </c>
      <c r="H539" s="19">
        <v>1998</v>
      </c>
      <c r="I539" s="2" t="s">
        <v>3</v>
      </c>
    </row>
    <row r="540" spans="2:9" x14ac:dyDescent="0.25">
      <c r="B540" s="1" t="s">
        <v>546</v>
      </c>
      <c r="C540" s="3">
        <v>17</v>
      </c>
      <c r="D540" s="3" t="s">
        <v>869</v>
      </c>
      <c r="E540" s="2">
        <v>2017</v>
      </c>
      <c r="F540" s="3">
        <v>30</v>
      </c>
      <c r="G540" s="3" t="s">
        <v>869</v>
      </c>
      <c r="H540" s="19">
        <v>2013</v>
      </c>
      <c r="I540" s="2" t="s">
        <v>2</v>
      </c>
    </row>
    <row r="541" spans="2:9" x14ac:dyDescent="0.25">
      <c r="B541" s="1" t="s">
        <v>547</v>
      </c>
      <c r="C541" s="3">
        <v>17</v>
      </c>
      <c r="D541" s="3" t="s">
        <v>869</v>
      </c>
      <c r="E541" s="2">
        <v>2017</v>
      </c>
      <c r="F541" s="3">
        <v>21</v>
      </c>
      <c r="G541" s="3" t="s">
        <v>858</v>
      </c>
      <c r="H541" s="19">
        <v>2012</v>
      </c>
      <c r="I541" s="2" t="s">
        <v>3</v>
      </c>
    </row>
    <row r="542" spans="2:9" x14ac:dyDescent="0.25">
      <c r="B542" s="1" t="s">
        <v>548</v>
      </c>
      <c r="C542" s="3">
        <v>17</v>
      </c>
      <c r="D542" s="3" t="s">
        <v>869</v>
      </c>
      <c r="E542" s="2">
        <v>2017</v>
      </c>
      <c r="F542" s="3">
        <v>28</v>
      </c>
      <c r="G542" s="3" t="s">
        <v>864</v>
      </c>
      <c r="H542" s="19">
        <v>2017</v>
      </c>
      <c r="I542" s="2" t="s">
        <v>3</v>
      </c>
    </row>
    <row r="543" spans="2:9" x14ac:dyDescent="0.25">
      <c r="B543" s="1" t="s">
        <v>549</v>
      </c>
      <c r="C543" s="3">
        <v>18</v>
      </c>
      <c r="D543" s="3" t="s">
        <v>869</v>
      </c>
      <c r="E543" s="2">
        <v>2017</v>
      </c>
      <c r="F543" s="3">
        <v>11</v>
      </c>
      <c r="G543" s="3" t="s">
        <v>870</v>
      </c>
      <c r="H543" s="19">
        <v>2013</v>
      </c>
      <c r="I543" s="2" t="s">
        <v>3</v>
      </c>
    </row>
    <row r="544" spans="2:9" x14ac:dyDescent="0.25">
      <c r="B544" s="1" t="s">
        <v>550</v>
      </c>
      <c r="C544" s="3">
        <v>18</v>
      </c>
      <c r="D544" s="3" t="s">
        <v>869</v>
      </c>
      <c r="E544" s="2">
        <v>2017</v>
      </c>
      <c r="F544" s="3">
        <v>19</v>
      </c>
      <c r="G544" s="3" t="s">
        <v>870</v>
      </c>
      <c r="H544" s="19">
        <v>2016</v>
      </c>
      <c r="I544" s="2" t="s">
        <v>2</v>
      </c>
    </row>
    <row r="545" spans="2:9" x14ac:dyDescent="0.25">
      <c r="B545" s="1" t="s">
        <v>551</v>
      </c>
      <c r="C545" s="3">
        <v>18</v>
      </c>
      <c r="D545" s="3" t="s">
        <v>869</v>
      </c>
      <c r="E545" s="2">
        <v>2017</v>
      </c>
      <c r="F545" s="3">
        <v>1</v>
      </c>
      <c r="G545" s="3" t="s">
        <v>869</v>
      </c>
      <c r="H545" s="19">
        <v>2005</v>
      </c>
      <c r="I545" s="2" t="s">
        <v>2</v>
      </c>
    </row>
    <row r="546" spans="2:9" x14ac:dyDescent="0.25">
      <c r="B546" s="1" t="s">
        <v>552</v>
      </c>
      <c r="C546" s="3">
        <v>18</v>
      </c>
      <c r="D546" s="3" t="s">
        <v>869</v>
      </c>
      <c r="E546" s="3">
        <v>2017</v>
      </c>
      <c r="F546" s="3">
        <v>17</v>
      </c>
      <c r="G546" s="3" t="s">
        <v>866</v>
      </c>
      <c r="H546" s="19">
        <v>2013</v>
      </c>
      <c r="I546" s="2" t="s">
        <v>3</v>
      </c>
    </row>
    <row r="547" spans="2:9" x14ac:dyDescent="0.25">
      <c r="B547" s="1" t="s">
        <v>553</v>
      </c>
      <c r="C547" s="3">
        <v>21</v>
      </c>
      <c r="D547" s="3" t="s">
        <v>869</v>
      </c>
      <c r="E547" s="3">
        <v>2017</v>
      </c>
      <c r="F547" s="3">
        <v>18</v>
      </c>
      <c r="G547" s="3" t="s">
        <v>864</v>
      </c>
      <c r="H547" s="19">
        <v>2017</v>
      </c>
      <c r="I547" s="2" t="s">
        <v>3</v>
      </c>
    </row>
    <row r="548" spans="2:9" x14ac:dyDescent="0.25">
      <c r="B548" s="1" t="s">
        <v>554</v>
      </c>
      <c r="C548" s="3">
        <v>21</v>
      </c>
      <c r="D548" s="3" t="s">
        <v>869</v>
      </c>
      <c r="E548" s="3">
        <v>2017</v>
      </c>
      <c r="F548" s="3">
        <v>31</v>
      </c>
      <c r="G548" s="3" t="s">
        <v>870</v>
      </c>
      <c r="H548" s="19">
        <v>2016</v>
      </c>
      <c r="I548" s="2" t="s">
        <v>3</v>
      </c>
    </row>
    <row r="549" spans="2:9" x14ac:dyDescent="0.25">
      <c r="B549" s="1" t="s">
        <v>555</v>
      </c>
      <c r="C549" s="3">
        <v>21</v>
      </c>
      <c r="D549" s="3" t="s">
        <v>869</v>
      </c>
      <c r="E549" s="3">
        <v>2017</v>
      </c>
      <c r="F549" s="3">
        <v>15</v>
      </c>
      <c r="G549" s="3" t="s">
        <v>858</v>
      </c>
      <c r="H549" s="19">
        <v>2012</v>
      </c>
      <c r="I549" s="2" t="s">
        <v>2</v>
      </c>
    </row>
    <row r="550" spans="2:9" x14ac:dyDescent="0.25">
      <c r="B550" s="1" t="s">
        <v>556</v>
      </c>
      <c r="C550" s="3">
        <v>23</v>
      </c>
      <c r="D550" s="3" t="s">
        <v>869</v>
      </c>
      <c r="E550" s="3">
        <v>2017</v>
      </c>
      <c r="F550" s="3">
        <v>30</v>
      </c>
      <c r="G550" s="3" t="s">
        <v>866</v>
      </c>
      <c r="H550" s="19">
        <v>1958</v>
      </c>
      <c r="I550" s="2" t="s">
        <v>2</v>
      </c>
    </row>
    <row r="551" spans="2:9" x14ac:dyDescent="0.25">
      <c r="B551" s="1" t="s">
        <v>557</v>
      </c>
      <c r="C551" s="3">
        <v>23</v>
      </c>
      <c r="D551" s="3" t="s">
        <v>869</v>
      </c>
      <c r="E551" s="2">
        <v>2017</v>
      </c>
      <c r="F551" s="3">
        <v>1</v>
      </c>
      <c r="G551" s="3" t="s">
        <v>867</v>
      </c>
      <c r="H551" s="19">
        <v>2014</v>
      </c>
      <c r="I551" s="2" t="s">
        <v>2</v>
      </c>
    </row>
    <row r="552" spans="2:9" x14ac:dyDescent="0.25">
      <c r="B552" s="1" t="s">
        <v>558</v>
      </c>
      <c r="C552" s="3">
        <v>23</v>
      </c>
      <c r="D552" s="3" t="s">
        <v>869</v>
      </c>
      <c r="E552" s="2">
        <v>2017</v>
      </c>
      <c r="F552" s="3">
        <v>13</v>
      </c>
      <c r="G552" s="3" t="s">
        <v>864</v>
      </c>
      <c r="H552" s="19">
        <v>2017</v>
      </c>
      <c r="I552" s="2" t="s">
        <v>3</v>
      </c>
    </row>
    <row r="553" spans="2:9" x14ac:dyDescent="0.25">
      <c r="B553" s="1" t="s">
        <v>559</v>
      </c>
      <c r="C553" s="3">
        <v>23</v>
      </c>
      <c r="D553" s="3" t="s">
        <v>869</v>
      </c>
      <c r="E553" s="2">
        <v>2017</v>
      </c>
      <c r="F553" s="3">
        <v>11</v>
      </c>
      <c r="G553" s="3" t="s">
        <v>866</v>
      </c>
      <c r="H553" s="19">
        <v>2012</v>
      </c>
      <c r="I553" s="2" t="s">
        <v>2</v>
      </c>
    </row>
    <row r="554" spans="2:9" x14ac:dyDescent="0.25">
      <c r="B554" s="1" t="s">
        <v>560</v>
      </c>
      <c r="C554" s="3">
        <v>23</v>
      </c>
      <c r="D554" s="3" t="s">
        <v>869</v>
      </c>
      <c r="E554" s="2">
        <v>2017</v>
      </c>
      <c r="F554" s="3">
        <v>26</v>
      </c>
      <c r="G554" s="3" t="s">
        <v>865</v>
      </c>
      <c r="H554" s="19">
        <v>2014</v>
      </c>
      <c r="I554" s="2" t="s">
        <v>3</v>
      </c>
    </row>
    <row r="555" spans="2:9" x14ac:dyDescent="0.25">
      <c r="B555" s="1" t="s">
        <v>561</v>
      </c>
      <c r="C555" s="3">
        <v>23</v>
      </c>
      <c r="D555" s="3" t="s">
        <v>869</v>
      </c>
      <c r="E555" s="2">
        <v>2017</v>
      </c>
      <c r="F555" s="3">
        <v>16</v>
      </c>
      <c r="G555" s="3" t="s">
        <v>857</v>
      </c>
      <c r="H555" s="19">
        <v>2016</v>
      </c>
      <c r="I555" s="2" t="s">
        <v>3</v>
      </c>
    </row>
    <row r="556" spans="2:9" x14ac:dyDescent="0.25">
      <c r="B556" s="1" t="s">
        <v>562</v>
      </c>
      <c r="C556" s="3">
        <v>23</v>
      </c>
      <c r="D556" s="3" t="s">
        <v>869</v>
      </c>
      <c r="E556" s="2">
        <v>2017</v>
      </c>
      <c r="F556" s="3">
        <v>2</v>
      </c>
      <c r="G556" s="3" t="s">
        <v>866</v>
      </c>
      <c r="H556" s="19">
        <v>2017</v>
      </c>
      <c r="I556" s="2" t="s">
        <v>3</v>
      </c>
    </row>
    <row r="557" spans="2:9" x14ac:dyDescent="0.25">
      <c r="B557" s="1" t="s">
        <v>563</v>
      </c>
      <c r="C557" s="3">
        <v>24</v>
      </c>
      <c r="D557" s="3" t="s">
        <v>869</v>
      </c>
      <c r="E557" s="2">
        <v>2017</v>
      </c>
      <c r="F557" s="3">
        <v>8</v>
      </c>
      <c r="G557" s="3" t="s">
        <v>864</v>
      </c>
      <c r="H557" s="19">
        <v>2001</v>
      </c>
      <c r="I557" s="2" t="s">
        <v>2</v>
      </c>
    </row>
    <row r="558" spans="2:9" x14ac:dyDescent="0.25">
      <c r="B558" s="1" t="s">
        <v>564</v>
      </c>
      <c r="C558" s="3">
        <v>24</v>
      </c>
      <c r="D558" s="3" t="s">
        <v>869</v>
      </c>
      <c r="E558" s="3">
        <v>2017</v>
      </c>
      <c r="F558" s="3">
        <v>20</v>
      </c>
      <c r="G558" s="3" t="s">
        <v>864</v>
      </c>
      <c r="H558" s="19">
        <v>2017</v>
      </c>
      <c r="I558" s="2" t="s">
        <v>3</v>
      </c>
    </row>
    <row r="559" spans="2:9" x14ac:dyDescent="0.25">
      <c r="B559" s="1" t="s">
        <v>565</v>
      </c>
      <c r="C559" s="3">
        <v>25</v>
      </c>
      <c r="D559" s="3" t="s">
        <v>869</v>
      </c>
      <c r="E559" s="3">
        <v>2017</v>
      </c>
      <c r="F559" s="3">
        <v>16</v>
      </c>
      <c r="G559" s="3" t="s">
        <v>866</v>
      </c>
      <c r="H559" s="19">
        <v>2017</v>
      </c>
      <c r="I559" s="2" t="s">
        <v>3</v>
      </c>
    </row>
    <row r="560" spans="2:9" x14ac:dyDescent="0.25">
      <c r="B560" s="1" t="s">
        <v>566</v>
      </c>
      <c r="C560" s="3">
        <v>25</v>
      </c>
      <c r="D560" s="3" t="s">
        <v>869</v>
      </c>
      <c r="E560" s="3">
        <v>2017</v>
      </c>
      <c r="F560" s="3">
        <v>29</v>
      </c>
      <c r="G560" s="3" t="s">
        <v>865</v>
      </c>
      <c r="H560" s="19">
        <v>2012</v>
      </c>
      <c r="I560" s="2" t="s">
        <v>3</v>
      </c>
    </row>
    <row r="561" spans="2:9" x14ac:dyDescent="0.25">
      <c r="B561" s="1" t="s">
        <v>567</v>
      </c>
      <c r="C561" s="3">
        <v>28</v>
      </c>
      <c r="D561" s="3" t="s">
        <v>869</v>
      </c>
      <c r="E561" s="3">
        <v>2017</v>
      </c>
      <c r="F561" s="3">
        <v>16</v>
      </c>
      <c r="G561" s="3" t="s">
        <v>869</v>
      </c>
      <c r="H561" s="19">
        <v>2017</v>
      </c>
      <c r="I561" s="2" t="s">
        <v>3</v>
      </c>
    </row>
    <row r="562" spans="2:9" x14ac:dyDescent="0.25">
      <c r="B562" s="1" t="s">
        <v>568</v>
      </c>
      <c r="C562" s="3">
        <v>28</v>
      </c>
      <c r="D562" s="3" t="s">
        <v>869</v>
      </c>
      <c r="E562" s="3">
        <v>2017</v>
      </c>
      <c r="F562" s="3">
        <v>19</v>
      </c>
      <c r="G562" s="3" t="s">
        <v>869</v>
      </c>
      <c r="H562" s="19">
        <v>2017</v>
      </c>
      <c r="I562" s="2" t="s">
        <v>2</v>
      </c>
    </row>
    <row r="563" spans="2:9" x14ac:dyDescent="0.25">
      <c r="B563" s="1" t="s">
        <v>569</v>
      </c>
      <c r="C563" s="3">
        <v>28</v>
      </c>
      <c r="D563" s="3" t="s">
        <v>869</v>
      </c>
      <c r="E563" s="2">
        <v>2017</v>
      </c>
      <c r="F563" s="3">
        <v>10</v>
      </c>
      <c r="G563" s="3" t="s">
        <v>870</v>
      </c>
      <c r="H563" s="19">
        <v>2002</v>
      </c>
      <c r="I563" s="2" t="s">
        <v>2</v>
      </c>
    </row>
    <row r="564" spans="2:9" x14ac:dyDescent="0.25">
      <c r="B564" s="1" t="s">
        <v>570</v>
      </c>
      <c r="C564" s="3">
        <v>28</v>
      </c>
      <c r="D564" s="3" t="s">
        <v>869</v>
      </c>
      <c r="E564" s="2">
        <v>2017</v>
      </c>
      <c r="F564" s="3">
        <v>15</v>
      </c>
      <c r="G564" s="3" t="s">
        <v>868</v>
      </c>
      <c r="H564" s="19">
        <v>2016</v>
      </c>
      <c r="I564" s="2" t="s">
        <v>3</v>
      </c>
    </row>
    <row r="565" spans="2:9" x14ac:dyDescent="0.25">
      <c r="B565" s="1" t="s">
        <v>571</v>
      </c>
      <c r="C565" s="3">
        <v>28</v>
      </c>
      <c r="D565" s="3" t="s">
        <v>869</v>
      </c>
      <c r="E565" s="2">
        <v>2017</v>
      </c>
      <c r="F565" s="3">
        <v>29</v>
      </c>
      <c r="G565" s="3" t="s">
        <v>864</v>
      </c>
      <c r="H565" s="19">
        <v>2017</v>
      </c>
      <c r="I565" s="2" t="s">
        <v>2</v>
      </c>
    </row>
    <row r="566" spans="2:9" x14ac:dyDescent="0.25">
      <c r="B566" s="1" t="s">
        <v>572</v>
      </c>
      <c r="C566" s="3">
        <v>28</v>
      </c>
      <c r="D566" s="3" t="s">
        <v>869</v>
      </c>
      <c r="E566" s="2">
        <v>2017</v>
      </c>
      <c r="F566" s="3">
        <v>29</v>
      </c>
      <c r="G566" s="3" t="s">
        <v>864</v>
      </c>
      <c r="H566" s="19">
        <v>2017</v>
      </c>
      <c r="I566" s="2" t="s">
        <v>3</v>
      </c>
    </row>
    <row r="567" spans="2:9" x14ac:dyDescent="0.25">
      <c r="B567" s="1" t="s">
        <v>573</v>
      </c>
      <c r="C567" s="3">
        <v>28</v>
      </c>
      <c r="D567" s="3" t="s">
        <v>869</v>
      </c>
      <c r="E567" s="2">
        <v>2017</v>
      </c>
      <c r="F567" s="3">
        <v>10</v>
      </c>
      <c r="G567" s="3" t="s">
        <v>869</v>
      </c>
      <c r="H567" s="19">
        <v>2017</v>
      </c>
      <c r="I567" s="2" t="s">
        <v>3</v>
      </c>
    </row>
    <row r="568" spans="2:9" x14ac:dyDescent="0.25">
      <c r="B568" s="1" t="s">
        <v>574</v>
      </c>
      <c r="C568" s="3">
        <v>29</v>
      </c>
      <c r="D568" s="3" t="s">
        <v>869</v>
      </c>
      <c r="E568" s="2">
        <v>2017</v>
      </c>
      <c r="F568" s="3">
        <v>11</v>
      </c>
      <c r="G568" s="3" t="s">
        <v>869</v>
      </c>
      <c r="H568" s="19">
        <v>2017</v>
      </c>
      <c r="I568" s="2" t="s">
        <v>2</v>
      </c>
    </row>
    <row r="569" spans="2:9" x14ac:dyDescent="0.25">
      <c r="B569" s="1" t="s">
        <v>575</v>
      </c>
      <c r="C569" s="3">
        <v>29</v>
      </c>
      <c r="D569" s="3" t="s">
        <v>869</v>
      </c>
      <c r="E569" s="2">
        <v>2017</v>
      </c>
      <c r="F569" s="3">
        <v>19</v>
      </c>
      <c r="G569" s="3" t="s">
        <v>866</v>
      </c>
      <c r="H569" s="19">
        <v>2017</v>
      </c>
      <c r="I569" s="2" t="s">
        <v>2</v>
      </c>
    </row>
    <row r="570" spans="2:9" x14ac:dyDescent="0.25">
      <c r="B570" s="1" t="s">
        <v>576</v>
      </c>
      <c r="C570" s="3">
        <v>30</v>
      </c>
      <c r="D570" s="3" t="s">
        <v>869</v>
      </c>
      <c r="E570" s="2">
        <v>2017</v>
      </c>
      <c r="F570" s="3">
        <v>2</v>
      </c>
      <c r="G570" s="3" t="s">
        <v>864</v>
      </c>
      <c r="H570" s="19">
        <v>2017</v>
      </c>
      <c r="I570" s="2" t="s">
        <v>2</v>
      </c>
    </row>
    <row r="571" spans="2:9" x14ac:dyDescent="0.25">
      <c r="B571" s="1" t="s">
        <v>577</v>
      </c>
      <c r="C571" s="3">
        <v>31</v>
      </c>
      <c r="D571" s="3" t="s">
        <v>869</v>
      </c>
      <c r="E571" s="2">
        <v>2017</v>
      </c>
      <c r="F571" s="3">
        <v>17</v>
      </c>
      <c r="G571" s="3" t="s">
        <v>868</v>
      </c>
      <c r="H571" s="19">
        <v>2017</v>
      </c>
      <c r="I571" s="2" t="s">
        <v>2</v>
      </c>
    </row>
    <row r="572" spans="2:9" x14ac:dyDescent="0.25">
      <c r="B572" s="1" t="s">
        <v>578</v>
      </c>
      <c r="C572" s="3">
        <v>31</v>
      </c>
      <c r="D572" s="3" t="s">
        <v>869</v>
      </c>
      <c r="E572" s="2">
        <v>2017</v>
      </c>
      <c r="F572" s="3">
        <v>25</v>
      </c>
      <c r="G572" s="3" t="s">
        <v>869</v>
      </c>
      <c r="H572" s="19">
        <v>2017</v>
      </c>
      <c r="I572" s="2" t="s">
        <v>3</v>
      </c>
    </row>
    <row r="573" spans="2:9" x14ac:dyDescent="0.25">
      <c r="B573" s="1" t="s">
        <v>579</v>
      </c>
      <c r="C573" s="3">
        <v>31</v>
      </c>
      <c r="D573" s="3" t="s">
        <v>869</v>
      </c>
      <c r="E573" s="2">
        <v>2017</v>
      </c>
      <c r="F573" s="3">
        <v>18</v>
      </c>
      <c r="G573" s="3" t="s">
        <v>866</v>
      </c>
      <c r="H573" s="19">
        <v>2017</v>
      </c>
      <c r="I573" s="2" t="s">
        <v>3</v>
      </c>
    </row>
    <row r="574" spans="2:9" x14ac:dyDescent="0.25">
      <c r="B574" s="1" t="s">
        <v>580</v>
      </c>
      <c r="C574" s="3">
        <v>31</v>
      </c>
      <c r="D574" s="3" t="s">
        <v>869</v>
      </c>
      <c r="E574" s="2">
        <v>2017</v>
      </c>
      <c r="F574" s="3">
        <v>22</v>
      </c>
      <c r="G574" s="3" t="s">
        <v>864</v>
      </c>
      <c r="H574" s="19">
        <v>2017</v>
      </c>
      <c r="I574" s="2" t="s">
        <v>2</v>
      </c>
    </row>
    <row r="575" spans="2:9" x14ac:dyDescent="0.25">
      <c r="B575" s="1" t="s">
        <v>581</v>
      </c>
      <c r="C575" s="3">
        <v>31</v>
      </c>
      <c r="D575" s="3" t="s">
        <v>869</v>
      </c>
      <c r="E575" s="2">
        <v>2017</v>
      </c>
      <c r="F575" s="3">
        <v>11</v>
      </c>
      <c r="G575" s="3" t="s">
        <v>869</v>
      </c>
      <c r="H575" s="19">
        <v>2017</v>
      </c>
      <c r="I575" s="2" t="s">
        <v>3</v>
      </c>
    </row>
    <row r="576" spans="2:9" x14ac:dyDescent="0.25">
      <c r="B576" s="2" t="s">
        <v>582</v>
      </c>
      <c r="C576" s="3">
        <v>1</v>
      </c>
      <c r="D576" s="3" t="s">
        <v>863</v>
      </c>
      <c r="E576" s="2">
        <v>2017</v>
      </c>
      <c r="F576" s="3">
        <v>15</v>
      </c>
      <c r="G576" s="3" t="s">
        <v>869</v>
      </c>
      <c r="H576" s="4">
        <v>2017</v>
      </c>
      <c r="I576" s="3" t="s">
        <v>2</v>
      </c>
    </row>
    <row r="577" spans="2:9" x14ac:dyDescent="0.25">
      <c r="B577" s="2" t="s">
        <v>583</v>
      </c>
      <c r="C577" s="3">
        <v>1</v>
      </c>
      <c r="D577" s="3" t="s">
        <v>863</v>
      </c>
      <c r="E577" s="2">
        <v>2017</v>
      </c>
      <c r="F577" s="3">
        <v>21</v>
      </c>
      <c r="G577" s="3" t="s">
        <v>869</v>
      </c>
      <c r="H577" s="5">
        <v>2017</v>
      </c>
      <c r="I577" s="2" t="s">
        <v>2</v>
      </c>
    </row>
    <row r="578" spans="2:9" x14ac:dyDescent="0.25">
      <c r="B578" s="2" t="s">
        <v>584</v>
      </c>
      <c r="C578" s="3">
        <v>1</v>
      </c>
      <c r="D578" s="3" t="s">
        <v>863</v>
      </c>
      <c r="E578" s="2">
        <v>2017</v>
      </c>
      <c r="F578" s="3">
        <v>22</v>
      </c>
      <c r="G578" s="3" t="s">
        <v>856</v>
      </c>
      <c r="H578" s="5">
        <v>1996</v>
      </c>
      <c r="I578" s="2" t="s">
        <v>2</v>
      </c>
    </row>
    <row r="579" spans="2:9" x14ac:dyDescent="0.25">
      <c r="B579" s="2" t="s">
        <v>585</v>
      </c>
      <c r="C579" s="3">
        <v>1</v>
      </c>
      <c r="D579" s="3" t="s">
        <v>863</v>
      </c>
      <c r="E579" s="2">
        <v>2017</v>
      </c>
      <c r="F579" s="3">
        <v>12</v>
      </c>
      <c r="G579" s="3" t="s">
        <v>869</v>
      </c>
      <c r="H579" s="5">
        <v>2017</v>
      </c>
      <c r="I579" s="2" t="s">
        <v>2</v>
      </c>
    </row>
    <row r="580" spans="2:9" x14ac:dyDescent="0.25">
      <c r="B580" s="2" t="s">
        <v>586</v>
      </c>
      <c r="C580" s="3">
        <v>1</v>
      </c>
      <c r="D580" s="3" t="s">
        <v>863</v>
      </c>
      <c r="E580" s="2">
        <v>2017</v>
      </c>
      <c r="F580" s="3">
        <v>28</v>
      </c>
      <c r="G580" s="3" t="s">
        <v>864</v>
      </c>
      <c r="H580" s="5">
        <v>2017</v>
      </c>
      <c r="I580" s="2" t="s">
        <v>2</v>
      </c>
    </row>
    <row r="581" spans="2:9" x14ac:dyDescent="0.25">
      <c r="B581" s="2" t="s">
        <v>587</v>
      </c>
      <c r="C581" s="3">
        <v>4</v>
      </c>
      <c r="D581" s="3" t="s">
        <v>863</v>
      </c>
      <c r="E581" s="2">
        <v>2017</v>
      </c>
      <c r="F581" s="3">
        <v>26</v>
      </c>
      <c r="G581" s="3" t="s">
        <v>866</v>
      </c>
      <c r="H581" s="5">
        <v>2017</v>
      </c>
      <c r="I581" s="2" t="s">
        <v>2</v>
      </c>
    </row>
    <row r="582" spans="2:9" x14ac:dyDescent="0.25">
      <c r="B582" s="2" t="s">
        <v>588</v>
      </c>
      <c r="C582" s="3">
        <v>4</v>
      </c>
      <c r="D582" s="3" t="s">
        <v>863</v>
      </c>
      <c r="E582" s="2">
        <v>2017</v>
      </c>
      <c r="F582" s="3">
        <v>9</v>
      </c>
      <c r="G582" s="3" t="s">
        <v>864</v>
      </c>
      <c r="H582" s="5">
        <v>2017</v>
      </c>
      <c r="I582" s="2" t="s">
        <v>3</v>
      </c>
    </row>
    <row r="583" spans="2:9" x14ac:dyDescent="0.25">
      <c r="B583" s="2" t="s">
        <v>589</v>
      </c>
      <c r="C583" s="3">
        <v>4</v>
      </c>
      <c r="D583" s="3" t="s">
        <v>863</v>
      </c>
      <c r="E583" s="2">
        <v>2017</v>
      </c>
      <c r="F583" s="3">
        <v>17</v>
      </c>
      <c r="G583" s="3" t="s">
        <v>869</v>
      </c>
      <c r="H583" s="5">
        <v>2017</v>
      </c>
      <c r="I583" s="2" t="s">
        <v>2</v>
      </c>
    </row>
    <row r="584" spans="2:9" x14ac:dyDescent="0.25">
      <c r="B584" s="2" t="s">
        <v>590</v>
      </c>
      <c r="C584" s="3">
        <v>5</v>
      </c>
      <c r="D584" s="3" t="s">
        <v>863</v>
      </c>
      <c r="E584" s="2">
        <v>2017</v>
      </c>
      <c r="F584" s="3">
        <v>23</v>
      </c>
      <c r="G584" s="3" t="s">
        <v>868</v>
      </c>
      <c r="H584" s="2">
        <v>2017</v>
      </c>
      <c r="I584" s="2" t="s">
        <v>2</v>
      </c>
    </row>
    <row r="585" spans="2:9" x14ac:dyDescent="0.25">
      <c r="B585" s="2" t="s">
        <v>591</v>
      </c>
      <c r="C585" s="3">
        <v>5</v>
      </c>
      <c r="D585" s="3" t="s">
        <v>863</v>
      </c>
      <c r="E585" s="2">
        <v>2017</v>
      </c>
      <c r="F585" s="3">
        <v>7</v>
      </c>
      <c r="G585" s="3" t="s">
        <v>869</v>
      </c>
      <c r="H585" s="5">
        <v>2017</v>
      </c>
      <c r="I585" s="2" t="s">
        <v>2</v>
      </c>
    </row>
    <row r="586" spans="2:9" x14ac:dyDescent="0.25">
      <c r="B586" s="2" t="s">
        <v>592</v>
      </c>
      <c r="C586" s="3">
        <v>5</v>
      </c>
      <c r="D586" s="3" t="s">
        <v>863</v>
      </c>
      <c r="E586" s="2">
        <v>2017</v>
      </c>
      <c r="F586" s="3">
        <v>3</v>
      </c>
      <c r="G586" s="3" t="s">
        <v>869</v>
      </c>
      <c r="H586" s="5">
        <v>2017</v>
      </c>
      <c r="I586" s="2" t="s">
        <v>2</v>
      </c>
    </row>
    <row r="587" spans="2:9" x14ac:dyDescent="0.25">
      <c r="B587" s="2" t="s">
        <v>593</v>
      </c>
      <c r="C587" s="3">
        <v>5</v>
      </c>
      <c r="D587" s="3" t="s">
        <v>863</v>
      </c>
      <c r="E587" s="2">
        <v>2017</v>
      </c>
      <c r="F587" s="3">
        <v>12</v>
      </c>
      <c r="G587" s="3" t="s">
        <v>865</v>
      </c>
      <c r="H587" s="5">
        <v>2017</v>
      </c>
      <c r="I587" s="2" t="s">
        <v>3</v>
      </c>
    </row>
    <row r="588" spans="2:9" x14ac:dyDescent="0.25">
      <c r="B588" s="2" t="s">
        <v>594</v>
      </c>
      <c r="C588" s="3">
        <v>6</v>
      </c>
      <c r="D588" s="3" t="s">
        <v>863</v>
      </c>
      <c r="E588" s="2">
        <v>2017</v>
      </c>
      <c r="F588" s="3">
        <v>28</v>
      </c>
      <c r="G588" s="3" t="s">
        <v>870</v>
      </c>
      <c r="H588" s="5">
        <v>2013</v>
      </c>
      <c r="I588" s="2" t="s">
        <v>3</v>
      </c>
    </row>
    <row r="589" spans="2:9" x14ac:dyDescent="0.25">
      <c r="B589" s="2" t="s">
        <v>595</v>
      </c>
      <c r="C589" s="3">
        <v>6</v>
      </c>
      <c r="D589" s="3" t="s">
        <v>863</v>
      </c>
      <c r="E589" s="2">
        <v>2017</v>
      </c>
      <c r="F589" s="3">
        <v>17</v>
      </c>
      <c r="G589" s="3" t="s">
        <v>865</v>
      </c>
      <c r="H589" s="5">
        <v>2017</v>
      </c>
      <c r="I589" s="2" t="s">
        <v>2</v>
      </c>
    </row>
    <row r="590" spans="2:9" x14ac:dyDescent="0.25">
      <c r="B590" s="2" t="s">
        <v>596</v>
      </c>
      <c r="C590" s="3">
        <v>6</v>
      </c>
      <c r="D590" s="3" t="s">
        <v>863</v>
      </c>
      <c r="E590" s="2">
        <v>2017</v>
      </c>
      <c r="F590" s="3">
        <v>23</v>
      </c>
      <c r="G590" s="3" t="s">
        <v>856</v>
      </c>
      <c r="H590" s="5">
        <v>2017</v>
      </c>
      <c r="I590" s="2" t="s">
        <v>3</v>
      </c>
    </row>
    <row r="591" spans="2:9" x14ac:dyDescent="0.25">
      <c r="B591" s="2" t="s">
        <v>597</v>
      </c>
      <c r="C591" s="3">
        <v>6</v>
      </c>
      <c r="D591" s="3" t="s">
        <v>863</v>
      </c>
      <c r="E591" s="2">
        <v>2017</v>
      </c>
      <c r="F591" s="3">
        <v>15</v>
      </c>
      <c r="G591" s="3" t="s">
        <v>869</v>
      </c>
      <c r="H591" s="5">
        <v>2017</v>
      </c>
      <c r="I591" s="2" t="s">
        <v>3</v>
      </c>
    </row>
    <row r="592" spans="2:9" x14ac:dyDescent="0.25">
      <c r="B592" s="2" t="s">
        <v>598</v>
      </c>
      <c r="C592" s="3">
        <v>7</v>
      </c>
      <c r="D592" s="3" t="s">
        <v>863</v>
      </c>
      <c r="E592" s="2">
        <v>2017</v>
      </c>
      <c r="F592" s="3">
        <v>17</v>
      </c>
      <c r="G592" s="3" t="s">
        <v>856</v>
      </c>
      <c r="H592" s="5">
        <v>1953</v>
      </c>
      <c r="I592" s="2" t="s">
        <v>2</v>
      </c>
    </row>
    <row r="593" spans="2:9" x14ac:dyDescent="0.25">
      <c r="B593" s="2" t="s">
        <v>599</v>
      </c>
      <c r="C593" s="3">
        <v>7</v>
      </c>
      <c r="D593" s="3" t="s">
        <v>863</v>
      </c>
      <c r="E593" s="2">
        <v>2017</v>
      </c>
      <c r="F593" s="3">
        <v>26</v>
      </c>
      <c r="G593" s="3" t="s">
        <v>866</v>
      </c>
      <c r="H593" s="5">
        <v>2005</v>
      </c>
      <c r="I593" s="2" t="s">
        <v>3</v>
      </c>
    </row>
    <row r="594" spans="2:9" x14ac:dyDescent="0.25">
      <c r="B594" s="2" t="s">
        <v>600</v>
      </c>
      <c r="C594" s="3">
        <v>7</v>
      </c>
      <c r="D594" s="3" t="s">
        <v>863</v>
      </c>
      <c r="E594" s="2">
        <v>2017</v>
      </c>
      <c r="F594" s="3">
        <v>28</v>
      </c>
      <c r="G594" s="3" t="s">
        <v>856</v>
      </c>
      <c r="H594" s="5">
        <v>2017</v>
      </c>
      <c r="I594" s="2" t="s">
        <v>2</v>
      </c>
    </row>
    <row r="595" spans="2:9" x14ac:dyDescent="0.25">
      <c r="B595" s="2" t="s">
        <v>601</v>
      </c>
      <c r="C595" s="3">
        <v>7</v>
      </c>
      <c r="D595" s="3" t="s">
        <v>863</v>
      </c>
      <c r="E595" s="2">
        <v>2017</v>
      </c>
      <c r="F595" s="3">
        <v>25</v>
      </c>
      <c r="G595" s="3" t="s">
        <v>869</v>
      </c>
      <c r="H595" s="5">
        <v>2017</v>
      </c>
      <c r="I595" s="2" t="s">
        <v>2</v>
      </c>
    </row>
    <row r="596" spans="2:9" x14ac:dyDescent="0.25">
      <c r="B596" s="2" t="s">
        <v>602</v>
      </c>
      <c r="C596" s="3">
        <v>7</v>
      </c>
      <c r="D596" s="3" t="s">
        <v>863</v>
      </c>
      <c r="E596" s="2">
        <v>2017</v>
      </c>
      <c r="F596" s="3">
        <v>9</v>
      </c>
      <c r="G596" s="3" t="s">
        <v>863</v>
      </c>
      <c r="H596" s="5">
        <v>2017</v>
      </c>
      <c r="I596" s="2" t="s">
        <v>3</v>
      </c>
    </row>
    <row r="597" spans="2:9" x14ac:dyDescent="0.25">
      <c r="B597" s="2" t="s">
        <v>603</v>
      </c>
      <c r="C597" s="3">
        <v>12</v>
      </c>
      <c r="D597" s="3" t="s">
        <v>863</v>
      </c>
      <c r="E597" s="2">
        <v>2017</v>
      </c>
      <c r="F597" s="3">
        <v>7</v>
      </c>
      <c r="G597" s="3" t="s">
        <v>863</v>
      </c>
      <c r="H597" s="5">
        <v>2017</v>
      </c>
      <c r="I597" s="2" t="s">
        <v>2</v>
      </c>
    </row>
    <row r="598" spans="2:9" x14ac:dyDescent="0.25">
      <c r="B598" s="2" t="s">
        <v>604</v>
      </c>
      <c r="C598" s="3">
        <v>12</v>
      </c>
      <c r="D598" s="3" t="s">
        <v>863</v>
      </c>
      <c r="E598" s="2">
        <v>2017</v>
      </c>
      <c r="F598" s="3">
        <v>24</v>
      </c>
      <c r="G598" s="3" t="s">
        <v>869</v>
      </c>
      <c r="H598" s="5">
        <v>2017</v>
      </c>
      <c r="I598" s="2" t="s">
        <v>2</v>
      </c>
    </row>
    <row r="599" spans="2:9" x14ac:dyDescent="0.25">
      <c r="B599" s="2" t="s">
        <v>605</v>
      </c>
      <c r="C599" s="3">
        <v>12</v>
      </c>
      <c r="D599" s="3" t="s">
        <v>863</v>
      </c>
      <c r="E599" s="2">
        <v>2017</v>
      </c>
      <c r="F599" s="3">
        <v>29</v>
      </c>
      <c r="G599" s="3" t="s">
        <v>869</v>
      </c>
      <c r="H599" s="5">
        <v>2017</v>
      </c>
      <c r="I599" s="2" t="s">
        <v>2</v>
      </c>
    </row>
    <row r="600" spans="2:9" x14ac:dyDescent="0.25">
      <c r="B600" s="2" t="s">
        <v>606</v>
      </c>
      <c r="C600" s="3">
        <v>13</v>
      </c>
      <c r="D600" s="3" t="s">
        <v>863</v>
      </c>
      <c r="E600" s="2">
        <v>2017</v>
      </c>
      <c r="F600" s="3">
        <v>28</v>
      </c>
      <c r="G600" s="3" t="s">
        <v>869</v>
      </c>
      <c r="H600" s="5">
        <v>2017</v>
      </c>
      <c r="I600" s="2" t="s">
        <v>2</v>
      </c>
    </row>
    <row r="601" spans="2:9" x14ac:dyDescent="0.25">
      <c r="B601" s="2" t="s">
        <v>607</v>
      </c>
      <c r="C601" s="3">
        <v>14</v>
      </c>
      <c r="D601" s="3" t="s">
        <v>863</v>
      </c>
      <c r="E601" s="2">
        <v>2017</v>
      </c>
      <c r="F601" s="3">
        <v>8</v>
      </c>
      <c r="G601" s="3" t="s">
        <v>869</v>
      </c>
      <c r="H601" s="5">
        <v>2017</v>
      </c>
      <c r="I601" s="2" t="s">
        <v>2</v>
      </c>
    </row>
    <row r="602" spans="2:9" x14ac:dyDescent="0.25">
      <c r="B602" s="2" t="s">
        <v>608</v>
      </c>
      <c r="C602" s="3">
        <v>18</v>
      </c>
      <c r="D602" s="3" t="s">
        <v>863</v>
      </c>
      <c r="E602" s="2">
        <v>2017</v>
      </c>
      <c r="F602" s="3">
        <v>26</v>
      </c>
      <c r="G602" s="3" t="s">
        <v>864</v>
      </c>
      <c r="H602" s="4">
        <v>2017</v>
      </c>
      <c r="I602" s="2" t="s">
        <v>3</v>
      </c>
    </row>
    <row r="603" spans="2:9" x14ac:dyDescent="0.25">
      <c r="B603" s="2" t="s">
        <v>609</v>
      </c>
      <c r="C603" s="3">
        <v>18</v>
      </c>
      <c r="D603" s="3" t="s">
        <v>863</v>
      </c>
      <c r="E603" s="2">
        <v>2017</v>
      </c>
      <c r="F603" s="3">
        <v>7</v>
      </c>
      <c r="G603" s="3" t="s">
        <v>869</v>
      </c>
      <c r="H603" s="5">
        <v>2017</v>
      </c>
      <c r="I603" s="2" t="s">
        <v>2</v>
      </c>
    </row>
    <row r="604" spans="2:9" x14ac:dyDescent="0.25">
      <c r="B604" s="2" t="s">
        <v>610</v>
      </c>
      <c r="C604" s="3">
        <v>18</v>
      </c>
      <c r="D604" s="3" t="s">
        <v>863</v>
      </c>
      <c r="E604" s="2">
        <v>2017</v>
      </c>
      <c r="F604" s="3">
        <v>13</v>
      </c>
      <c r="G604" s="3" t="s">
        <v>870</v>
      </c>
      <c r="H604" s="5">
        <v>2014</v>
      </c>
      <c r="I604" s="2" t="s">
        <v>2</v>
      </c>
    </row>
    <row r="605" spans="2:9" x14ac:dyDescent="0.25">
      <c r="B605" s="2" t="s">
        <v>611</v>
      </c>
      <c r="C605" s="3">
        <v>18</v>
      </c>
      <c r="D605" s="3" t="s">
        <v>863</v>
      </c>
      <c r="E605" s="2">
        <v>2017</v>
      </c>
      <c r="F605" s="3">
        <v>16</v>
      </c>
      <c r="G605" s="3" t="s">
        <v>870</v>
      </c>
      <c r="H605" s="5">
        <v>2016</v>
      </c>
      <c r="I605" s="2" t="s">
        <v>2</v>
      </c>
    </row>
    <row r="606" spans="2:9" x14ac:dyDescent="0.25">
      <c r="B606" s="2" t="s">
        <v>612</v>
      </c>
      <c r="C606" s="3">
        <v>19</v>
      </c>
      <c r="D606" s="3" t="s">
        <v>878</v>
      </c>
      <c r="E606" s="2">
        <v>2017</v>
      </c>
      <c r="F606" s="3">
        <v>31</v>
      </c>
      <c r="G606" s="3" t="s">
        <v>869</v>
      </c>
      <c r="H606" s="5">
        <v>2017</v>
      </c>
      <c r="I606" s="2" t="s">
        <v>2</v>
      </c>
    </row>
    <row r="607" spans="2:9" x14ac:dyDescent="0.25">
      <c r="B607" s="2" t="s">
        <v>613</v>
      </c>
      <c r="C607" s="3">
        <v>20</v>
      </c>
      <c r="D607" s="3" t="s">
        <v>863</v>
      </c>
      <c r="E607" s="2">
        <v>2017</v>
      </c>
      <c r="F607" s="3">
        <v>18</v>
      </c>
      <c r="G607" s="3" t="s">
        <v>865</v>
      </c>
      <c r="H607" s="5">
        <v>2012</v>
      </c>
      <c r="I607" s="2" t="s">
        <v>2</v>
      </c>
    </row>
    <row r="608" spans="2:9" x14ac:dyDescent="0.25">
      <c r="B608" s="2" t="s">
        <v>614</v>
      </c>
      <c r="C608" s="3">
        <v>20</v>
      </c>
      <c r="D608" s="3" t="s">
        <v>863</v>
      </c>
      <c r="E608" s="2">
        <v>2017</v>
      </c>
      <c r="F608" s="3">
        <v>4</v>
      </c>
      <c r="G608" s="3" t="s">
        <v>869</v>
      </c>
      <c r="H608" s="5">
        <v>2017</v>
      </c>
      <c r="I608" s="2" t="s">
        <v>3</v>
      </c>
    </row>
    <row r="609" spans="2:9" x14ac:dyDescent="0.25">
      <c r="B609" s="2" t="s">
        <v>615</v>
      </c>
      <c r="C609" s="3">
        <v>22</v>
      </c>
      <c r="D609" s="3" t="s">
        <v>863</v>
      </c>
      <c r="E609" s="2">
        <v>2017</v>
      </c>
      <c r="F609" s="3">
        <v>5</v>
      </c>
      <c r="G609" s="3" t="s">
        <v>863</v>
      </c>
      <c r="H609" s="5">
        <v>2017</v>
      </c>
      <c r="I609" s="2" t="s">
        <v>2</v>
      </c>
    </row>
    <row r="610" spans="2:9" x14ac:dyDescent="0.25">
      <c r="B610" s="2" t="s">
        <v>616</v>
      </c>
      <c r="C610" s="3">
        <v>22</v>
      </c>
      <c r="D610" s="3" t="s">
        <v>863</v>
      </c>
      <c r="E610" s="2">
        <v>2017</v>
      </c>
      <c r="F610" s="3">
        <v>33</v>
      </c>
      <c r="G610" s="3" t="s">
        <v>869</v>
      </c>
      <c r="H610" s="5">
        <v>2017</v>
      </c>
      <c r="I610" s="2" t="s">
        <v>2</v>
      </c>
    </row>
    <row r="611" spans="2:9" x14ac:dyDescent="0.25">
      <c r="B611" s="2" t="s">
        <v>617</v>
      </c>
      <c r="C611" s="3">
        <v>22</v>
      </c>
      <c r="D611" s="3" t="s">
        <v>863</v>
      </c>
      <c r="E611" s="2">
        <v>2017</v>
      </c>
      <c r="F611" s="3">
        <v>4</v>
      </c>
      <c r="G611" s="3" t="s">
        <v>863</v>
      </c>
      <c r="H611" s="5">
        <v>2017</v>
      </c>
      <c r="I611" s="2" t="s">
        <v>2</v>
      </c>
    </row>
    <row r="612" spans="2:9" x14ac:dyDescent="0.25">
      <c r="B612" s="2" t="s">
        <v>618</v>
      </c>
      <c r="C612" s="3">
        <v>25</v>
      </c>
      <c r="D612" s="3" t="s">
        <v>863</v>
      </c>
      <c r="E612" s="2">
        <v>2017</v>
      </c>
      <c r="F612" s="3">
        <v>20</v>
      </c>
      <c r="G612" s="3" t="s">
        <v>868</v>
      </c>
      <c r="H612" s="5">
        <v>2017</v>
      </c>
      <c r="I612" s="2" t="s">
        <v>2</v>
      </c>
    </row>
    <row r="613" spans="2:9" x14ac:dyDescent="0.25">
      <c r="B613" s="2" t="s">
        <v>619</v>
      </c>
      <c r="C613" s="3">
        <v>25</v>
      </c>
      <c r="D613" s="3" t="s">
        <v>863</v>
      </c>
      <c r="E613" s="2">
        <v>2017</v>
      </c>
      <c r="F613" s="3">
        <v>28</v>
      </c>
      <c r="G613" s="3" t="s">
        <v>869</v>
      </c>
      <c r="H613" s="5">
        <v>2017</v>
      </c>
      <c r="I613" s="2" t="s">
        <v>2</v>
      </c>
    </row>
    <row r="614" spans="2:9" x14ac:dyDescent="0.25">
      <c r="B614" s="2" t="s">
        <v>620</v>
      </c>
      <c r="C614" s="3">
        <v>25</v>
      </c>
      <c r="D614" s="3" t="s">
        <v>863</v>
      </c>
      <c r="E614" s="2">
        <v>2017</v>
      </c>
      <c r="F614" s="3">
        <v>11</v>
      </c>
      <c r="G614" s="3" t="s">
        <v>868</v>
      </c>
      <c r="H614" s="5">
        <v>2017</v>
      </c>
      <c r="I614" s="2" t="s">
        <v>3</v>
      </c>
    </row>
    <row r="615" spans="2:9" x14ac:dyDescent="0.25">
      <c r="B615" s="2" t="s">
        <v>621</v>
      </c>
      <c r="C615" s="3">
        <v>25</v>
      </c>
      <c r="D615" s="3" t="s">
        <v>863</v>
      </c>
      <c r="E615" s="2">
        <v>2017</v>
      </c>
      <c r="F615" s="3">
        <v>6</v>
      </c>
      <c r="G615" s="3" t="s">
        <v>863</v>
      </c>
      <c r="H615" s="5">
        <v>2017</v>
      </c>
      <c r="I615" s="2" t="s">
        <v>2</v>
      </c>
    </row>
    <row r="616" spans="2:9" x14ac:dyDescent="0.25">
      <c r="B616" s="2" t="s">
        <v>622</v>
      </c>
      <c r="C616" s="3">
        <v>25</v>
      </c>
      <c r="D616" s="3" t="s">
        <v>863</v>
      </c>
      <c r="E616" s="2">
        <v>2017</v>
      </c>
      <c r="F616" s="3">
        <v>30</v>
      </c>
      <c r="G616" s="3" t="s">
        <v>869</v>
      </c>
      <c r="H616" s="5">
        <v>2017</v>
      </c>
      <c r="I616" s="2" t="s">
        <v>3</v>
      </c>
    </row>
    <row r="617" spans="2:9" x14ac:dyDescent="0.25">
      <c r="B617" s="2" t="s">
        <v>623</v>
      </c>
      <c r="C617" s="3">
        <v>26</v>
      </c>
      <c r="D617" s="3" t="s">
        <v>863</v>
      </c>
      <c r="E617" s="2">
        <v>2017</v>
      </c>
      <c r="F617" s="3">
        <v>12</v>
      </c>
      <c r="G617" s="3" t="s">
        <v>864</v>
      </c>
      <c r="H617" s="5">
        <v>1991</v>
      </c>
      <c r="I617" s="2" t="s">
        <v>2</v>
      </c>
    </row>
    <row r="618" spans="2:9" x14ac:dyDescent="0.25">
      <c r="B618" s="2" t="s">
        <v>624</v>
      </c>
      <c r="C618" s="3">
        <v>26</v>
      </c>
      <c r="D618" s="3" t="s">
        <v>863</v>
      </c>
      <c r="E618" s="2">
        <v>2017</v>
      </c>
      <c r="F618" s="3">
        <v>29</v>
      </c>
      <c r="G618" s="3" t="s">
        <v>869</v>
      </c>
      <c r="H618" s="5">
        <v>2017</v>
      </c>
      <c r="I618" s="2" t="s">
        <v>2</v>
      </c>
    </row>
    <row r="619" spans="2:9" x14ac:dyDescent="0.25">
      <c r="B619" s="2" t="s">
        <v>625</v>
      </c>
      <c r="C619" s="3">
        <v>26</v>
      </c>
      <c r="D619" s="3" t="s">
        <v>863</v>
      </c>
      <c r="E619" s="2">
        <v>2017</v>
      </c>
      <c r="F619" s="3">
        <v>25</v>
      </c>
      <c r="G619" s="3" t="s">
        <v>865</v>
      </c>
      <c r="H619" s="5">
        <v>2017</v>
      </c>
      <c r="I619" s="2" t="s">
        <v>3</v>
      </c>
    </row>
    <row r="620" spans="2:9" x14ac:dyDescent="0.25">
      <c r="B620" s="2" t="s">
        <v>626</v>
      </c>
      <c r="C620" s="3">
        <v>26</v>
      </c>
      <c r="D620" s="3" t="s">
        <v>863</v>
      </c>
      <c r="E620" s="2">
        <v>2017</v>
      </c>
      <c r="F620" s="3">
        <v>7</v>
      </c>
      <c r="G620" s="3" t="s">
        <v>869</v>
      </c>
      <c r="H620" s="5">
        <v>2017</v>
      </c>
      <c r="I620" s="2" t="s">
        <v>3</v>
      </c>
    </row>
    <row r="621" spans="2:9" x14ac:dyDescent="0.25">
      <c r="B621" s="2" t="s">
        <v>627</v>
      </c>
      <c r="C621" s="3">
        <v>26</v>
      </c>
      <c r="D621" s="3" t="s">
        <v>863</v>
      </c>
      <c r="E621" s="2">
        <v>2017</v>
      </c>
      <c r="F621" s="3">
        <v>18</v>
      </c>
      <c r="G621" s="3" t="s">
        <v>864</v>
      </c>
      <c r="H621" s="5">
        <v>2017</v>
      </c>
      <c r="I621" s="2" t="s">
        <v>3</v>
      </c>
    </row>
    <row r="622" spans="2:9" x14ac:dyDescent="0.25">
      <c r="B622" s="2" t="s">
        <v>628</v>
      </c>
      <c r="C622" s="3">
        <v>26</v>
      </c>
      <c r="D622" s="3" t="s">
        <v>863</v>
      </c>
      <c r="E622" s="2">
        <v>2017</v>
      </c>
      <c r="F622" s="3">
        <v>11</v>
      </c>
      <c r="G622" s="3" t="s">
        <v>867</v>
      </c>
      <c r="H622" s="5">
        <v>1974</v>
      </c>
      <c r="I622" s="2" t="s">
        <v>3</v>
      </c>
    </row>
    <row r="623" spans="2:9" x14ac:dyDescent="0.25">
      <c r="B623" s="2" t="s">
        <v>629</v>
      </c>
      <c r="C623" s="3">
        <v>26</v>
      </c>
      <c r="D623" s="3" t="s">
        <v>863</v>
      </c>
      <c r="E623" s="2">
        <v>2017</v>
      </c>
      <c r="F623" s="3">
        <v>3</v>
      </c>
      <c r="G623" s="3" t="s">
        <v>863</v>
      </c>
      <c r="H623" s="5">
        <v>2017</v>
      </c>
      <c r="I623" s="2" t="s">
        <v>3</v>
      </c>
    </row>
    <row r="624" spans="2:9" x14ac:dyDescent="0.25">
      <c r="B624" s="2" t="s">
        <v>630</v>
      </c>
      <c r="C624" s="3">
        <v>26</v>
      </c>
      <c r="D624" s="3" t="s">
        <v>863</v>
      </c>
      <c r="E624" s="2">
        <v>2017</v>
      </c>
      <c r="F624" s="3">
        <v>24</v>
      </c>
      <c r="G624" s="3" t="s">
        <v>864</v>
      </c>
      <c r="H624" s="5">
        <v>2017</v>
      </c>
      <c r="I624" s="2" t="s">
        <v>3</v>
      </c>
    </row>
    <row r="625" spans="2:9" x14ac:dyDescent="0.25">
      <c r="B625" s="2" t="s">
        <v>631</v>
      </c>
      <c r="C625" s="3">
        <v>28</v>
      </c>
      <c r="D625" s="3" t="s">
        <v>863</v>
      </c>
      <c r="E625" s="2">
        <v>2017</v>
      </c>
      <c r="F625" s="3">
        <v>4</v>
      </c>
      <c r="G625" s="3" t="s">
        <v>866</v>
      </c>
      <c r="H625" s="5">
        <v>1965</v>
      </c>
      <c r="I625" s="2" t="s">
        <v>2</v>
      </c>
    </row>
    <row r="626" spans="2:9" x14ac:dyDescent="0.25">
      <c r="B626" s="2" t="s">
        <v>632</v>
      </c>
      <c r="C626" s="3">
        <v>28</v>
      </c>
      <c r="D626" s="3" t="s">
        <v>863</v>
      </c>
      <c r="E626" s="2">
        <v>2017</v>
      </c>
      <c r="F626" s="3">
        <v>24</v>
      </c>
      <c r="G626" s="3" t="s">
        <v>869</v>
      </c>
      <c r="H626" s="5">
        <v>2005</v>
      </c>
      <c r="I626" s="2" t="s">
        <v>2</v>
      </c>
    </row>
    <row r="627" spans="2:9" x14ac:dyDescent="0.25">
      <c r="B627" s="2" t="s">
        <v>633</v>
      </c>
      <c r="C627" s="3">
        <v>28</v>
      </c>
      <c r="D627" s="3" t="s">
        <v>863</v>
      </c>
      <c r="E627" s="2">
        <v>2017</v>
      </c>
      <c r="F627" s="3">
        <v>15</v>
      </c>
      <c r="G627" s="3" t="s">
        <v>869</v>
      </c>
      <c r="H627" s="5">
        <v>2017</v>
      </c>
      <c r="I627" s="2" t="s">
        <v>3</v>
      </c>
    </row>
    <row r="628" spans="2:9" x14ac:dyDescent="0.25">
      <c r="B628" s="2" t="s">
        <v>634</v>
      </c>
      <c r="C628" s="3">
        <v>29</v>
      </c>
      <c r="D628" s="3" t="s">
        <v>863</v>
      </c>
      <c r="E628" s="2">
        <v>2017</v>
      </c>
      <c r="F628" s="3">
        <v>11</v>
      </c>
      <c r="G628" s="3" t="s">
        <v>861</v>
      </c>
      <c r="H628" s="5">
        <v>2012</v>
      </c>
      <c r="I628" s="2" t="s">
        <v>2</v>
      </c>
    </row>
    <row r="629" spans="2:9" x14ac:dyDescent="0.25">
      <c r="B629" s="2" t="s">
        <v>635</v>
      </c>
      <c r="C629" s="3">
        <v>29</v>
      </c>
      <c r="D629" s="3" t="s">
        <v>863</v>
      </c>
      <c r="E629" s="2">
        <v>2017</v>
      </c>
      <c r="F629" s="3">
        <v>4</v>
      </c>
      <c r="G629" s="3" t="s">
        <v>865</v>
      </c>
      <c r="H629" s="5">
        <v>2017</v>
      </c>
      <c r="I629" s="2" t="s">
        <v>2</v>
      </c>
    </row>
    <row r="630" spans="2:9" x14ac:dyDescent="0.25">
      <c r="B630" s="2" t="s">
        <v>636</v>
      </c>
      <c r="C630" s="3">
        <v>29</v>
      </c>
      <c r="D630" s="3" t="s">
        <v>863</v>
      </c>
      <c r="E630" s="2">
        <v>2017</v>
      </c>
      <c r="F630" s="3">
        <v>12</v>
      </c>
      <c r="G630" s="3" t="s">
        <v>863</v>
      </c>
      <c r="H630" s="5">
        <v>2017</v>
      </c>
      <c r="I630" s="2" t="s">
        <v>2</v>
      </c>
    </row>
    <row r="631" spans="2:9" x14ac:dyDescent="0.25">
      <c r="B631" s="2" t="s">
        <v>637</v>
      </c>
      <c r="C631" s="3">
        <v>29</v>
      </c>
      <c r="D631" s="3" t="s">
        <v>863</v>
      </c>
      <c r="E631" s="2">
        <v>2017</v>
      </c>
      <c r="F631" s="3">
        <v>17</v>
      </c>
      <c r="G631" s="3" t="s">
        <v>863</v>
      </c>
      <c r="H631" s="5">
        <v>2017</v>
      </c>
      <c r="I631" s="2" t="s">
        <v>2</v>
      </c>
    </row>
    <row r="632" spans="2:9" x14ac:dyDescent="0.25">
      <c r="B632" s="2" t="s">
        <v>638</v>
      </c>
      <c r="C632" s="3">
        <v>29</v>
      </c>
      <c r="D632" s="3" t="s">
        <v>863</v>
      </c>
      <c r="E632" s="2">
        <v>2017</v>
      </c>
      <c r="F632" s="3">
        <v>11</v>
      </c>
      <c r="G632" s="3" t="s">
        <v>865</v>
      </c>
      <c r="H632" s="5">
        <v>2013</v>
      </c>
      <c r="I632" s="2" t="s">
        <v>2</v>
      </c>
    </row>
    <row r="633" spans="2:9" x14ac:dyDescent="0.25">
      <c r="B633" s="2" t="s">
        <v>639</v>
      </c>
      <c r="C633" s="3">
        <v>2</v>
      </c>
      <c r="D633" s="3" t="s">
        <v>870</v>
      </c>
      <c r="E633" s="2">
        <v>2017</v>
      </c>
      <c r="F633" s="3">
        <v>13</v>
      </c>
      <c r="G633" s="3" t="s">
        <v>863</v>
      </c>
      <c r="H633" s="21">
        <v>2017</v>
      </c>
      <c r="I633" s="3" t="s">
        <v>3</v>
      </c>
    </row>
    <row r="634" spans="2:9" x14ac:dyDescent="0.25">
      <c r="B634" s="2" t="s">
        <v>640</v>
      </c>
      <c r="C634" s="3">
        <v>2</v>
      </c>
      <c r="D634" s="3" t="s">
        <v>870</v>
      </c>
      <c r="E634" s="2">
        <v>2017</v>
      </c>
      <c r="F634" s="3">
        <v>29</v>
      </c>
      <c r="G634" s="3" t="s">
        <v>863</v>
      </c>
      <c r="H634" s="19">
        <v>2017</v>
      </c>
      <c r="I634" s="2" t="s">
        <v>2</v>
      </c>
    </row>
    <row r="635" spans="2:9" x14ac:dyDescent="0.25">
      <c r="B635" s="2" t="s">
        <v>641</v>
      </c>
      <c r="C635" s="3">
        <v>2</v>
      </c>
      <c r="D635" s="3" t="s">
        <v>870</v>
      </c>
      <c r="E635" s="2">
        <v>2017</v>
      </c>
      <c r="F635" s="3">
        <v>7</v>
      </c>
      <c r="G635" s="3" t="s">
        <v>869</v>
      </c>
      <c r="H635" s="19">
        <v>2016</v>
      </c>
      <c r="I635" s="2" t="s">
        <v>3</v>
      </c>
    </row>
    <row r="636" spans="2:9" x14ac:dyDescent="0.25">
      <c r="B636" s="2" t="s">
        <v>642</v>
      </c>
      <c r="C636" s="3">
        <v>2</v>
      </c>
      <c r="D636" s="3" t="s">
        <v>870</v>
      </c>
      <c r="E636" s="2">
        <v>2017</v>
      </c>
      <c r="F636" s="3">
        <v>28</v>
      </c>
      <c r="G636" s="3" t="s">
        <v>869</v>
      </c>
      <c r="H636" s="19">
        <v>2017</v>
      </c>
      <c r="I636" s="2" t="s">
        <v>3</v>
      </c>
    </row>
    <row r="637" spans="2:9" x14ac:dyDescent="0.25">
      <c r="B637" s="2" t="s">
        <v>643</v>
      </c>
      <c r="C637" s="3">
        <v>3</v>
      </c>
      <c r="D637" s="3" t="s">
        <v>870</v>
      </c>
      <c r="E637" s="2">
        <v>2017</v>
      </c>
      <c r="F637" s="3">
        <v>30</v>
      </c>
      <c r="G637" s="3" t="s">
        <v>863</v>
      </c>
      <c r="H637" s="19">
        <v>2017</v>
      </c>
      <c r="I637" s="2" t="s">
        <v>2</v>
      </c>
    </row>
    <row r="638" spans="2:9" x14ac:dyDescent="0.25">
      <c r="B638" s="2" t="s">
        <v>644</v>
      </c>
      <c r="C638" s="3">
        <v>3</v>
      </c>
      <c r="D638" s="3" t="s">
        <v>870</v>
      </c>
      <c r="E638" s="2">
        <v>2017</v>
      </c>
      <c r="F638" s="3">
        <v>16</v>
      </c>
      <c r="G638" s="3" t="s">
        <v>869</v>
      </c>
      <c r="H638" s="19">
        <v>2017</v>
      </c>
      <c r="I638" s="2" t="s">
        <v>3</v>
      </c>
    </row>
    <row r="639" spans="2:9" x14ac:dyDescent="0.25">
      <c r="B639" s="2" t="s">
        <v>645</v>
      </c>
      <c r="C639" s="3">
        <v>3</v>
      </c>
      <c r="D639" s="3" t="s">
        <v>870</v>
      </c>
      <c r="E639" s="2">
        <v>2017</v>
      </c>
      <c r="F639" s="3">
        <v>24</v>
      </c>
      <c r="G639" s="3" t="s">
        <v>869</v>
      </c>
      <c r="H639" s="19">
        <v>2017</v>
      </c>
      <c r="I639" s="2" t="s">
        <v>3</v>
      </c>
    </row>
    <row r="640" spans="2:9" x14ac:dyDescent="0.25">
      <c r="B640" s="2" t="s">
        <v>646</v>
      </c>
      <c r="C640" s="3">
        <v>4</v>
      </c>
      <c r="D640" s="3" t="s">
        <v>870</v>
      </c>
      <c r="E640" s="2">
        <v>2017</v>
      </c>
      <c r="F640" s="3">
        <v>1</v>
      </c>
      <c r="G640" s="3" t="s">
        <v>869</v>
      </c>
      <c r="H640" s="19">
        <v>2017</v>
      </c>
      <c r="I640" s="2" t="s">
        <v>2</v>
      </c>
    </row>
    <row r="641" spans="2:9" x14ac:dyDescent="0.25">
      <c r="B641" s="2" t="s">
        <v>647</v>
      </c>
      <c r="C641" s="3">
        <v>4</v>
      </c>
      <c r="D641" s="3" t="s">
        <v>870</v>
      </c>
      <c r="E641" s="2">
        <v>2017</v>
      </c>
      <c r="F641" s="3">
        <v>16</v>
      </c>
      <c r="G641" s="3" t="s">
        <v>857</v>
      </c>
      <c r="H641" s="19">
        <v>2013</v>
      </c>
      <c r="I641" s="2" t="s">
        <v>2</v>
      </c>
    </row>
    <row r="642" spans="2:9" x14ac:dyDescent="0.25">
      <c r="B642" s="2" t="s">
        <v>648</v>
      </c>
      <c r="C642" s="3">
        <v>5</v>
      </c>
      <c r="D642" s="3" t="s">
        <v>870</v>
      </c>
      <c r="E642" s="2">
        <v>2017</v>
      </c>
      <c r="F642" s="3">
        <v>4</v>
      </c>
      <c r="G642" s="3" t="s">
        <v>863</v>
      </c>
      <c r="H642" s="19">
        <v>2017</v>
      </c>
      <c r="I642" s="2" t="s">
        <v>3</v>
      </c>
    </row>
    <row r="643" spans="2:9" x14ac:dyDescent="0.25">
      <c r="B643" s="2" t="s">
        <v>649</v>
      </c>
      <c r="C643" s="3">
        <v>5</v>
      </c>
      <c r="D643" s="3" t="s">
        <v>870</v>
      </c>
      <c r="E643" s="2">
        <v>2017</v>
      </c>
      <c r="F643" s="3">
        <v>2</v>
      </c>
      <c r="G643" s="3" t="s">
        <v>869</v>
      </c>
      <c r="H643" s="19">
        <v>2011</v>
      </c>
      <c r="I643" s="2" t="s">
        <v>2</v>
      </c>
    </row>
    <row r="644" spans="2:9" x14ac:dyDescent="0.25">
      <c r="B644" s="2" t="s">
        <v>650</v>
      </c>
      <c r="C644" s="3">
        <v>6</v>
      </c>
      <c r="D644" s="3" t="s">
        <v>870</v>
      </c>
      <c r="E644" s="2">
        <v>2017</v>
      </c>
      <c r="F644" s="3">
        <v>15</v>
      </c>
      <c r="G644" s="3" t="s">
        <v>869</v>
      </c>
      <c r="H644" s="19">
        <v>2017</v>
      </c>
      <c r="I644" s="2" t="s">
        <v>3</v>
      </c>
    </row>
    <row r="645" spans="2:9" x14ac:dyDescent="0.25">
      <c r="B645" s="2" t="s">
        <v>651</v>
      </c>
      <c r="C645" s="3">
        <v>6</v>
      </c>
      <c r="D645" s="3" t="s">
        <v>870</v>
      </c>
      <c r="E645" s="2">
        <v>2017</v>
      </c>
      <c r="F645" s="3">
        <v>25</v>
      </c>
      <c r="G645" s="3" t="s">
        <v>864</v>
      </c>
      <c r="H645" s="19">
        <v>2016</v>
      </c>
      <c r="I645" s="2" t="s">
        <v>3</v>
      </c>
    </row>
    <row r="646" spans="2:9" x14ac:dyDescent="0.25">
      <c r="B646" s="2" t="s">
        <v>652</v>
      </c>
      <c r="C646" s="3">
        <v>6</v>
      </c>
      <c r="D646" s="3" t="s">
        <v>870</v>
      </c>
      <c r="E646" s="2">
        <v>2017</v>
      </c>
      <c r="F646" s="3">
        <v>30</v>
      </c>
      <c r="G646" s="3" t="s">
        <v>869</v>
      </c>
      <c r="H646" s="19">
        <v>2017</v>
      </c>
      <c r="I646" s="2" t="s">
        <v>2</v>
      </c>
    </row>
    <row r="647" spans="2:9" x14ac:dyDescent="0.25">
      <c r="B647" s="2" t="s">
        <v>653</v>
      </c>
      <c r="C647" s="3">
        <v>9</v>
      </c>
      <c r="D647" s="3" t="s">
        <v>870</v>
      </c>
      <c r="E647" s="2">
        <v>2017</v>
      </c>
      <c r="F647" s="3">
        <v>25</v>
      </c>
      <c r="G647" s="3" t="s">
        <v>858</v>
      </c>
      <c r="H647" s="19">
        <v>2016</v>
      </c>
      <c r="I647" s="2" t="s">
        <v>2</v>
      </c>
    </row>
    <row r="648" spans="2:9" x14ac:dyDescent="0.25">
      <c r="B648" s="2" t="s">
        <v>654</v>
      </c>
      <c r="C648" s="3">
        <v>9</v>
      </c>
      <c r="D648" s="3" t="s">
        <v>870</v>
      </c>
      <c r="E648" s="2">
        <v>2017</v>
      </c>
      <c r="F648" s="3">
        <v>6</v>
      </c>
      <c r="G648" s="3" t="s">
        <v>863</v>
      </c>
      <c r="H648" s="19">
        <v>2017</v>
      </c>
      <c r="I648" s="2" t="s">
        <v>2</v>
      </c>
    </row>
    <row r="649" spans="2:9" x14ac:dyDescent="0.25">
      <c r="B649" s="2" t="s">
        <v>655</v>
      </c>
      <c r="C649" s="3">
        <v>9</v>
      </c>
      <c r="D649" s="3" t="s">
        <v>870</v>
      </c>
      <c r="E649" s="2">
        <v>2017</v>
      </c>
      <c r="F649" s="3">
        <v>24</v>
      </c>
      <c r="G649" s="3" t="s">
        <v>863</v>
      </c>
      <c r="H649" s="19">
        <v>2017</v>
      </c>
      <c r="I649" s="2" t="s">
        <v>3</v>
      </c>
    </row>
    <row r="650" spans="2:9" x14ac:dyDescent="0.25">
      <c r="B650" s="2" t="s">
        <v>656</v>
      </c>
      <c r="C650" s="3">
        <v>10</v>
      </c>
      <c r="D650" s="3" t="s">
        <v>870</v>
      </c>
      <c r="E650" s="2">
        <v>2017</v>
      </c>
      <c r="F650" s="3">
        <v>31</v>
      </c>
      <c r="G650" s="3" t="s">
        <v>864</v>
      </c>
      <c r="H650" s="19">
        <v>2017</v>
      </c>
      <c r="I650" s="2" t="s">
        <v>2</v>
      </c>
    </row>
    <row r="651" spans="2:9" x14ac:dyDescent="0.25">
      <c r="B651" s="2" t="s">
        <v>657</v>
      </c>
      <c r="C651" s="3">
        <v>10</v>
      </c>
      <c r="D651" s="3" t="s">
        <v>870</v>
      </c>
      <c r="E651" s="2">
        <v>2017</v>
      </c>
      <c r="F651" s="3">
        <v>20</v>
      </c>
      <c r="G651" s="3" t="s">
        <v>861</v>
      </c>
      <c r="H651" s="19">
        <v>2016</v>
      </c>
      <c r="I651" s="2" t="s">
        <v>3</v>
      </c>
    </row>
    <row r="652" spans="2:9" x14ac:dyDescent="0.25">
      <c r="B652" s="2" t="s">
        <v>658</v>
      </c>
      <c r="C652" s="3">
        <v>11</v>
      </c>
      <c r="D652" s="3" t="s">
        <v>870</v>
      </c>
      <c r="E652" s="2">
        <v>2017</v>
      </c>
      <c r="F652" s="3">
        <v>16</v>
      </c>
      <c r="G652" s="3" t="s">
        <v>863</v>
      </c>
      <c r="H652" s="19">
        <v>1970</v>
      </c>
      <c r="I652" s="2" t="s">
        <v>3</v>
      </c>
    </row>
    <row r="653" spans="2:9" x14ac:dyDescent="0.25">
      <c r="B653" s="2" t="s">
        <v>659</v>
      </c>
      <c r="C653" s="3">
        <v>11</v>
      </c>
      <c r="D653" s="3" t="s">
        <v>870</v>
      </c>
      <c r="E653" s="2">
        <v>2017</v>
      </c>
      <c r="F653" s="3">
        <v>23</v>
      </c>
      <c r="G653" s="3" t="s">
        <v>856</v>
      </c>
      <c r="H653" s="19">
        <v>2008</v>
      </c>
      <c r="I653" s="2" t="s">
        <v>3</v>
      </c>
    </row>
    <row r="654" spans="2:9" x14ac:dyDescent="0.25">
      <c r="B654" s="2" t="s">
        <v>660</v>
      </c>
      <c r="C654" s="3">
        <v>11</v>
      </c>
      <c r="D654" s="3" t="s">
        <v>870</v>
      </c>
      <c r="E654" s="2">
        <v>2017</v>
      </c>
      <c r="F654" s="3">
        <v>5</v>
      </c>
      <c r="G654" s="3" t="s">
        <v>863</v>
      </c>
      <c r="H654" s="19">
        <v>2017</v>
      </c>
      <c r="I654" s="2" t="s">
        <v>2</v>
      </c>
    </row>
    <row r="655" spans="2:9" x14ac:dyDescent="0.25">
      <c r="B655" s="2" t="s">
        <v>661</v>
      </c>
      <c r="C655" s="3">
        <v>11</v>
      </c>
      <c r="D655" s="3" t="s">
        <v>870</v>
      </c>
      <c r="E655" s="2">
        <v>2017</v>
      </c>
      <c r="F655" s="3">
        <v>24</v>
      </c>
      <c r="G655" s="3" t="s">
        <v>863</v>
      </c>
      <c r="H655" s="19">
        <v>2017</v>
      </c>
      <c r="I655" s="2" t="s">
        <v>2</v>
      </c>
    </row>
    <row r="656" spans="2:9" x14ac:dyDescent="0.25">
      <c r="B656" s="2" t="s">
        <v>662</v>
      </c>
      <c r="C656" s="3">
        <v>12</v>
      </c>
      <c r="D656" s="3" t="s">
        <v>870</v>
      </c>
      <c r="E656" s="2">
        <v>2017</v>
      </c>
      <c r="F656" s="3">
        <v>7</v>
      </c>
      <c r="G656" s="3" t="s">
        <v>863</v>
      </c>
      <c r="H656" s="19">
        <v>2017</v>
      </c>
      <c r="I656" s="2" t="s">
        <v>3</v>
      </c>
    </row>
    <row r="657" spans="2:9" x14ac:dyDescent="0.25">
      <c r="B657" s="2" t="s">
        <v>663</v>
      </c>
      <c r="C657" s="3">
        <v>12</v>
      </c>
      <c r="D657" s="3" t="s">
        <v>870</v>
      </c>
      <c r="E657" s="2">
        <v>2017</v>
      </c>
      <c r="F657" s="3">
        <v>13</v>
      </c>
      <c r="G657" s="3" t="s">
        <v>863</v>
      </c>
      <c r="H657" s="19">
        <v>2017</v>
      </c>
      <c r="I657" s="2" t="s">
        <v>2</v>
      </c>
    </row>
    <row r="658" spans="2:9" x14ac:dyDescent="0.25">
      <c r="B658" s="2" t="s">
        <v>664</v>
      </c>
      <c r="C658" s="3">
        <v>12</v>
      </c>
      <c r="D658" s="3" t="s">
        <v>870</v>
      </c>
      <c r="E658" s="2">
        <v>2017</v>
      </c>
      <c r="F658" s="3">
        <v>18</v>
      </c>
      <c r="G658" s="3" t="s">
        <v>863</v>
      </c>
      <c r="H658" s="19">
        <v>2017</v>
      </c>
      <c r="I658" s="2" t="s">
        <v>2</v>
      </c>
    </row>
    <row r="659" spans="2:9" x14ac:dyDescent="0.25">
      <c r="B659" s="2" t="s">
        <v>665</v>
      </c>
      <c r="C659" s="3">
        <v>12</v>
      </c>
      <c r="D659" s="3" t="s">
        <v>870</v>
      </c>
      <c r="E659" s="2">
        <v>2017</v>
      </c>
      <c r="F659" s="3">
        <v>18</v>
      </c>
      <c r="G659" s="3" t="s">
        <v>864</v>
      </c>
      <c r="H659" s="19">
        <v>2017</v>
      </c>
      <c r="I659" s="2" t="s">
        <v>3</v>
      </c>
    </row>
    <row r="660" spans="2:9" x14ac:dyDescent="0.25">
      <c r="B660" s="2" t="s">
        <v>666</v>
      </c>
      <c r="C660" s="3">
        <v>12</v>
      </c>
      <c r="D660" s="3" t="s">
        <v>870</v>
      </c>
      <c r="E660" s="2">
        <v>2017</v>
      </c>
      <c r="F660" s="3">
        <v>7</v>
      </c>
      <c r="G660" s="3" t="s">
        <v>865</v>
      </c>
      <c r="H660" s="19">
        <v>2017</v>
      </c>
      <c r="I660" s="2" t="s">
        <v>3</v>
      </c>
    </row>
    <row r="661" spans="2:9" x14ac:dyDescent="0.25">
      <c r="B661" s="2" t="s">
        <v>667</v>
      </c>
      <c r="C661" s="3">
        <v>12</v>
      </c>
      <c r="D661" s="3" t="s">
        <v>870</v>
      </c>
      <c r="E661" s="2">
        <v>2017</v>
      </c>
      <c r="F661" s="3">
        <v>15</v>
      </c>
      <c r="G661" s="3" t="s">
        <v>870</v>
      </c>
      <c r="H661" s="19">
        <v>2015</v>
      </c>
      <c r="I661" s="2" t="s">
        <v>3</v>
      </c>
    </row>
    <row r="662" spans="2:9" x14ac:dyDescent="0.25">
      <c r="B662" s="2" t="s">
        <v>668</v>
      </c>
      <c r="C662" s="3">
        <v>13</v>
      </c>
      <c r="D662" s="3" t="s">
        <v>870</v>
      </c>
      <c r="E662" s="2">
        <v>2017</v>
      </c>
      <c r="F662" s="3">
        <v>12</v>
      </c>
      <c r="G662" s="3" t="s">
        <v>863</v>
      </c>
      <c r="H662" s="19">
        <v>2017</v>
      </c>
      <c r="I662" s="2" t="s">
        <v>3</v>
      </c>
    </row>
    <row r="663" spans="2:9" x14ac:dyDescent="0.25">
      <c r="B663" s="2" t="s">
        <v>669</v>
      </c>
      <c r="C663" s="3">
        <v>16</v>
      </c>
      <c r="D663" s="3" t="s">
        <v>870</v>
      </c>
      <c r="E663" s="2">
        <v>2017</v>
      </c>
      <c r="F663" s="3">
        <v>10</v>
      </c>
      <c r="G663" s="3" t="s">
        <v>870</v>
      </c>
      <c r="H663" s="19">
        <v>2017</v>
      </c>
      <c r="I663" s="2" t="s">
        <v>3</v>
      </c>
    </row>
    <row r="664" spans="2:9" x14ac:dyDescent="0.25">
      <c r="B664" s="2" t="s">
        <v>670</v>
      </c>
      <c r="C664" s="3">
        <v>16</v>
      </c>
      <c r="D664" s="3" t="s">
        <v>870</v>
      </c>
      <c r="E664" s="2">
        <v>2017</v>
      </c>
      <c r="F664" s="3">
        <v>20</v>
      </c>
      <c r="G664" s="3" t="s">
        <v>863</v>
      </c>
      <c r="H664" s="19">
        <v>2007</v>
      </c>
      <c r="I664" s="2" t="s">
        <v>2</v>
      </c>
    </row>
    <row r="665" spans="2:9" x14ac:dyDescent="0.25">
      <c r="B665" s="2" t="s">
        <v>671</v>
      </c>
      <c r="C665" s="3">
        <v>16</v>
      </c>
      <c r="D665" s="3" t="s">
        <v>870</v>
      </c>
      <c r="E665" s="2">
        <v>2017</v>
      </c>
      <c r="F665" s="3">
        <v>16</v>
      </c>
      <c r="G665" s="3" t="s">
        <v>863</v>
      </c>
      <c r="H665" s="19">
        <v>2017</v>
      </c>
      <c r="I665" s="2" t="s">
        <v>2</v>
      </c>
    </row>
    <row r="666" spans="2:9" x14ac:dyDescent="0.25">
      <c r="B666" s="2" t="s">
        <v>672</v>
      </c>
      <c r="C666" s="3">
        <v>16</v>
      </c>
      <c r="D666" s="3" t="s">
        <v>870</v>
      </c>
      <c r="E666" s="2">
        <v>2017</v>
      </c>
      <c r="F666" s="3">
        <v>1</v>
      </c>
      <c r="G666" s="3" t="s">
        <v>861</v>
      </c>
      <c r="H666" s="19">
        <v>2009</v>
      </c>
      <c r="I666" s="2" t="s">
        <v>2</v>
      </c>
    </row>
    <row r="667" spans="2:9" x14ac:dyDescent="0.25">
      <c r="B667" s="2" t="s">
        <v>673</v>
      </c>
      <c r="C667" s="3">
        <v>16</v>
      </c>
      <c r="D667" s="3" t="s">
        <v>870</v>
      </c>
      <c r="E667" s="2">
        <v>2017</v>
      </c>
      <c r="F667" s="3">
        <v>17</v>
      </c>
      <c r="G667" s="3" t="s">
        <v>863</v>
      </c>
      <c r="H667" s="19">
        <v>2013</v>
      </c>
      <c r="I667" s="2" t="s">
        <v>3</v>
      </c>
    </row>
    <row r="668" spans="2:9" x14ac:dyDescent="0.25">
      <c r="B668" s="2" t="s">
        <v>674</v>
      </c>
      <c r="C668" s="3">
        <v>16</v>
      </c>
      <c r="D668" s="3" t="s">
        <v>870</v>
      </c>
      <c r="E668" s="2">
        <v>2017</v>
      </c>
      <c r="F668" s="3">
        <v>14</v>
      </c>
      <c r="G668" s="3" t="s">
        <v>864</v>
      </c>
      <c r="H668" s="19">
        <v>2017</v>
      </c>
      <c r="I668" s="2" t="s">
        <v>2</v>
      </c>
    </row>
    <row r="669" spans="2:9" x14ac:dyDescent="0.25">
      <c r="B669" s="2" t="s">
        <v>675</v>
      </c>
      <c r="C669" s="3">
        <v>17</v>
      </c>
      <c r="D669" s="3" t="s">
        <v>870</v>
      </c>
      <c r="E669" s="2">
        <v>2017</v>
      </c>
      <c r="F669" s="3">
        <v>9</v>
      </c>
      <c r="G669" s="3" t="s">
        <v>861</v>
      </c>
      <c r="H669" s="19">
        <v>2017</v>
      </c>
      <c r="I669" s="2" t="s">
        <v>3</v>
      </c>
    </row>
    <row r="670" spans="2:9" x14ac:dyDescent="0.25">
      <c r="B670" s="2" t="s">
        <v>676</v>
      </c>
      <c r="C670" s="3">
        <v>17</v>
      </c>
      <c r="D670" s="3" t="s">
        <v>870</v>
      </c>
      <c r="E670" s="2">
        <v>2017</v>
      </c>
      <c r="F670" s="3">
        <v>19</v>
      </c>
      <c r="G670" s="3" t="s">
        <v>863</v>
      </c>
      <c r="H670" s="19">
        <v>2017</v>
      </c>
      <c r="I670" s="2" t="s">
        <v>2</v>
      </c>
    </row>
    <row r="671" spans="2:9" x14ac:dyDescent="0.25">
      <c r="B671" s="2" t="s">
        <v>677</v>
      </c>
      <c r="C671" s="3">
        <v>17</v>
      </c>
      <c r="D671" s="3" t="s">
        <v>870</v>
      </c>
      <c r="E671" s="2">
        <v>2017</v>
      </c>
      <c r="F671" s="3">
        <v>17</v>
      </c>
      <c r="G671" s="3" t="s">
        <v>867</v>
      </c>
      <c r="H671" s="19">
        <v>2017</v>
      </c>
      <c r="I671" s="2" t="s">
        <v>3</v>
      </c>
    </row>
    <row r="672" spans="2:9" x14ac:dyDescent="0.25">
      <c r="B672" s="2" t="s">
        <v>678</v>
      </c>
      <c r="C672" s="3">
        <v>17</v>
      </c>
      <c r="D672" s="3" t="s">
        <v>870</v>
      </c>
      <c r="E672" s="2">
        <v>2017</v>
      </c>
      <c r="F672" s="3">
        <v>10</v>
      </c>
      <c r="G672" s="3" t="s">
        <v>870</v>
      </c>
      <c r="H672" s="19">
        <v>2017</v>
      </c>
      <c r="I672" s="2" t="s">
        <v>3</v>
      </c>
    </row>
    <row r="673" spans="2:9" x14ac:dyDescent="0.25">
      <c r="B673" s="2" t="s">
        <v>679</v>
      </c>
      <c r="C673" s="3">
        <v>17</v>
      </c>
      <c r="D673" s="3" t="s">
        <v>870</v>
      </c>
      <c r="E673" s="2">
        <v>2017</v>
      </c>
      <c r="F673" s="3">
        <v>28</v>
      </c>
      <c r="G673" s="3" t="s">
        <v>866</v>
      </c>
      <c r="H673" s="19">
        <v>2015</v>
      </c>
      <c r="I673" s="2" t="s">
        <v>3</v>
      </c>
    </row>
    <row r="674" spans="2:9" x14ac:dyDescent="0.25">
      <c r="B674" s="2" t="s">
        <v>680</v>
      </c>
      <c r="C674" s="3">
        <v>17</v>
      </c>
      <c r="D674" s="3" t="s">
        <v>870</v>
      </c>
      <c r="E674" s="2">
        <v>2017</v>
      </c>
      <c r="F674" s="3">
        <v>30</v>
      </c>
      <c r="G674" s="3" t="s">
        <v>863</v>
      </c>
      <c r="H674" s="19">
        <v>2016</v>
      </c>
      <c r="I674" s="2" t="s">
        <v>3</v>
      </c>
    </row>
    <row r="675" spans="2:9" x14ac:dyDescent="0.25">
      <c r="B675" s="2" t="s">
        <v>681</v>
      </c>
      <c r="C675" s="3">
        <v>18</v>
      </c>
      <c r="D675" s="3" t="s">
        <v>879</v>
      </c>
      <c r="E675" s="2">
        <v>2017</v>
      </c>
      <c r="F675" s="3">
        <v>5</v>
      </c>
      <c r="G675" s="3" t="s">
        <v>869</v>
      </c>
      <c r="H675" s="19">
        <v>2017</v>
      </c>
      <c r="I675" s="2" t="s">
        <v>3</v>
      </c>
    </row>
    <row r="676" spans="2:9" x14ac:dyDescent="0.25">
      <c r="B676" s="2" t="s">
        <v>682</v>
      </c>
      <c r="C676" s="3">
        <v>18</v>
      </c>
      <c r="D676" s="3" t="s">
        <v>879</v>
      </c>
      <c r="E676" s="2">
        <v>2017</v>
      </c>
      <c r="F676" s="3">
        <v>5</v>
      </c>
      <c r="G676" s="3" t="s">
        <v>869</v>
      </c>
      <c r="H676" s="19">
        <v>2017</v>
      </c>
      <c r="I676" s="2" t="s">
        <v>3</v>
      </c>
    </row>
    <row r="677" spans="2:9" x14ac:dyDescent="0.25">
      <c r="B677" s="2" t="s">
        <v>683</v>
      </c>
      <c r="C677" s="3">
        <v>18</v>
      </c>
      <c r="D677" s="3" t="s">
        <v>879</v>
      </c>
      <c r="E677" s="2">
        <v>2017</v>
      </c>
      <c r="F677" s="3">
        <v>8</v>
      </c>
      <c r="G677" s="3" t="s">
        <v>863</v>
      </c>
      <c r="H677" s="19">
        <v>1975</v>
      </c>
      <c r="I677" s="2" t="s">
        <v>2</v>
      </c>
    </row>
    <row r="678" spans="2:9" x14ac:dyDescent="0.25">
      <c r="B678" s="2" t="s">
        <v>684</v>
      </c>
      <c r="C678" s="3">
        <v>19</v>
      </c>
      <c r="D678" s="3" t="s">
        <v>870</v>
      </c>
      <c r="E678" s="2">
        <v>2017</v>
      </c>
      <c r="F678" s="3">
        <v>8</v>
      </c>
      <c r="G678" s="3" t="s">
        <v>870</v>
      </c>
      <c r="H678" s="19">
        <v>2017</v>
      </c>
      <c r="I678" s="2" t="s">
        <v>2</v>
      </c>
    </row>
    <row r="679" spans="2:9" x14ac:dyDescent="0.25">
      <c r="B679" s="2" t="s">
        <v>685</v>
      </c>
      <c r="C679" s="3">
        <v>19</v>
      </c>
      <c r="D679" s="3" t="s">
        <v>870</v>
      </c>
      <c r="E679" s="2">
        <v>2017</v>
      </c>
      <c r="F679" s="3">
        <v>27</v>
      </c>
      <c r="G679" s="3" t="s">
        <v>863</v>
      </c>
      <c r="H679" s="19">
        <v>2017</v>
      </c>
      <c r="I679" s="2" t="s">
        <v>2</v>
      </c>
    </row>
    <row r="680" spans="2:9" x14ac:dyDescent="0.25">
      <c r="B680" s="2" t="s">
        <v>686</v>
      </c>
      <c r="C680" s="3">
        <v>20</v>
      </c>
      <c r="D680" s="3" t="s">
        <v>870</v>
      </c>
      <c r="E680" s="2">
        <v>2017</v>
      </c>
      <c r="F680" s="3">
        <v>25</v>
      </c>
      <c r="G680" s="3" t="s">
        <v>863</v>
      </c>
      <c r="H680" s="19">
        <v>2017</v>
      </c>
      <c r="I680" s="2" t="s">
        <v>2</v>
      </c>
    </row>
    <row r="681" spans="2:9" x14ac:dyDescent="0.25">
      <c r="B681" s="2" t="s">
        <v>687</v>
      </c>
      <c r="C681" s="3">
        <v>21</v>
      </c>
      <c r="D681" s="3" t="s">
        <v>870</v>
      </c>
      <c r="E681" s="2">
        <v>2017</v>
      </c>
      <c r="F681" s="3">
        <v>23</v>
      </c>
      <c r="G681" s="3" t="s">
        <v>865</v>
      </c>
      <c r="H681" s="19">
        <v>2014</v>
      </c>
      <c r="I681" s="2" t="s">
        <v>3</v>
      </c>
    </row>
    <row r="682" spans="2:9" x14ac:dyDescent="0.25">
      <c r="B682" s="2" t="s">
        <v>688</v>
      </c>
      <c r="C682" s="3">
        <v>21</v>
      </c>
      <c r="D682" s="3" t="s">
        <v>870</v>
      </c>
      <c r="E682" s="2">
        <v>2017</v>
      </c>
      <c r="F682" s="3">
        <v>20</v>
      </c>
      <c r="G682" s="3" t="s">
        <v>867</v>
      </c>
      <c r="H682" s="19">
        <v>2016</v>
      </c>
      <c r="I682" s="2" t="s">
        <v>2</v>
      </c>
    </row>
    <row r="683" spans="2:9" x14ac:dyDescent="0.25">
      <c r="B683" s="2" t="s">
        <v>689</v>
      </c>
      <c r="C683" s="3">
        <v>21</v>
      </c>
      <c r="D683" s="3" t="s">
        <v>870</v>
      </c>
      <c r="E683" s="2">
        <v>2017</v>
      </c>
      <c r="F683" s="3">
        <v>19</v>
      </c>
      <c r="G683" s="3" t="s">
        <v>868</v>
      </c>
      <c r="H683" s="19">
        <v>2017</v>
      </c>
      <c r="I683" s="2" t="s">
        <v>3</v>
      </c>
    </row>
    <row r="684" spans="2:9" x14ac:dyDescent="0.25">
      <c r="B684" s="2" t="s">
        <v>690</v>
      </c>
      <c r="C684" s="3">
        <v>21</v>
      </c>
      <c r="D684" s="3" t="s">
        <v>870</v>
      </c>
      <c r="E684" s="2">
        <v>2017</v>
      </c>
      <c r="F684" s="3">
        <v>7</v>
      </c>
      <c r="G684" s="3" t="s">
        <v>868</v>
      </c>
      <c r="H684" s="19">
        <v>2017</v>
      </c>
      <c r="I684" s="2" t="s">
        <v>3</v>
      </c>
    </row>
    <row r="685" spans="2:9" x14ac:dyDescent="0.25">
      <c r="B685" s="2" t="s">
        <v>691</v>
      </c>
      <c r="C685" s="3">
        <v>21</v>
      </c>
      <c r="D685" s="3" t="s">
        <v>870</v>
      </c>
      <c r="E685" s="2">
        <v>2017</v>
      </c>
      <c r="F685" s="3">
        <v>3</v>
      </c>
      <c r="G685" s="3" t="s">
        <v>870</v>
      </c>
      <c r="H685" s="19">
        <v>2017</v>
      </c>
      <c r="I685" s="2" t="s">
        <v>3</v>
      </c>
    </row>
    <row r="686" spans="2:9" x14ac:dyDescent="0.25">
      <c r="B686" s="2" t="s">
        <v>692</v>
      </c>
      <c r="C686" s="3">
        <v>21</v>
      </c>
      <c r="D686" s="3" t="s">
        <v>870</v>
      </c>
      <c r="E686" s="2">
        <v>2017</v>
      </c>
      <c r="F686" s="3">
        <v>28</v>
      </c>
      <c r="G686" s="3" t="s">
        <v>861</v>
      </c>
      <c r="H686" s="19">
        <v>2017</v>
      </c>
      <c r="I686" s="2" t="s">
        <v>3</v>
      </c>
    </row>
    <row r="687" spans="2:9" x14ac:dyDescent="0.25">
      <c r="B687" s="2" t="s">
        <v>693</v>
      </c>
      <c r="C687" s="3">
        <v>21</v>
      </c>
      <c r="D687" s="3" t="s">
        <v>870</v>
      </c>
      <c r="E687" s="2">
        <v>2017</v>
      </c>
      <c r="F687" s="3">
        <v>3</v>
      </c>
      <c r="G687" s="3" t="s">
        <v>866</v>
      </c>
      <c r="H687" s="19">
        <v>2017</v>
      </c>
      <c r="I687" s="2" t="s">
        <v>2</v>
      </c>
    </row>
    <row r="688" spans="2:9" x14ac:dyDescent="0.25">
      <c r="B688" s="2" t="s">
        <v>694</v>
      </c>
      <c r="C688" s="3">
        <v>21</v>
      </c>
      <c r="D688" s="3" t="s">
        <v>870</v>
      </c>
      <c r="E688" s="2">
        <v>2017</v>
      </c>
      <c r="F688" s="3">
        <v>9</v>
      </c>
      <c r="G688" s="3" t="s">
        <v>863</v>
      </c>
      <c r="H688" s="19">
        <v>2917</v>
      </c>
      <c r="I688" s="2" t="s">
        <v>3</v>
      </c>
    </row>
    <row r="689" spans="2:9" x14ac:dyDescent="0.25">
      <c r="B689" s="2" t="s">
        <v>695</v>
      </c>
      <c r="C689" s="3">
        <v>21</v>
      </c>
      <c r="D689" s="3" t="s">
        <v>870</v>
      </c>
      <c r="E689" s="2">
        <v>2017</v>
      </c>
      <c r="F689" s="3">
        <v>13</v>
      </c>
      <c r="G689" s="3" t="s">
        <v>858</v>
      </c>
      <c r="H689" s="19">
        <v>2016</v>
      </c>
      <c r="I689" s="2" t="s">
        <v>2</v>
      </c>
    </row>
    <row r="690" spans="2:9" x14ac:dyDescent="0.25">
      <c r="B690" s="2" t="s">
        <v>696</v>
      </c>
      <c r="C690" s="3">
        <v>21</v>
      </c>
      <c r="D690" s="3" t="s">
        <v>870</v>
      </c>
      <c r="E690" s="2">
        <v>2017</v>
      </c>
      <c r="F690" s="3">
        <v>24</v>
      </c>
      <c r="G690" s="3" t="s">
        <v>863</v>
      </c>
      <c r="H690" s="19">
        <v>2017</v>
      </c>
      <c r="I690" s="2" t="s">
        <v>3</v>
      </c>
    </row>
    <row r="691" spans="2:9" x14ac:dyDescent="0.25">
      <c r="B691" s="2" t="s">
        <v>697</v>
      </c>
      <c r="C691" s="3">
        <v>23</v>
      </c>
      <c r="D691" s="3" t="s">
        <v>870</v>
      </c>
      <c r="E691" s="2">
        <v>2017</v>
      </c>
      <c r="F691" s="3">
        <v>26</v>
      </c>
      <c r="G691" s="3" t="s">
        <v>869</v>
      </c>
      <c r="H691" s="19">
        <v>2017</v>
      </c>
      <c r="I691" s="2" t="s">
        <v>3</v>
      </c>
    </row>
    <row r="692" spans="2:9" x14ac:dyDescent="0.25">
      <c r="B692" s="2" t="s">
        <v>698</v>
      </c>
      <c r="C692" s="3">
        <v>23</v>
      </c>
      <c r="D692" s="3" t="s">
        <v>870</v>
      </c>
      <c r="E692" s="2">
        <v>2017</v>
      </c>
      <c r="F692" s="3">
        <v>12</v>
      </c>
      <c r="G692" s="3" t="s">
        <v>870</v>
      </c>
      <c r="H692" s="19">
        <v>2017</v>
      </c>
      <c r="I692" s="2" t="s">
        <v>2</v>
      </c>
    </row>
    <row r="693" spans="2:9" x14ac:dyDescent="0.25">
      <c r="B693" s="2" t="s">
        <v>699</v>
      </c>
      <c r="C693" s="3">
        <v>23</v>
      </c>
      <c r="D693" s="3" t="s">
        <v>870</v>
      </c>
      <c r="E693" s="2">
        <v>2017</v>
      </c>
      <c r="F693" s="3">
        <v>6</v>
      </c>
      <c r="G693" s="3" t="s">
        <v>870</v>
      </c>
      <c r="H693" s="19">
        <v>2017</v>
      </c>
      <c r="I693" s="2" t="s">
        <v>3</v>
      </c>
    </row>
    <row r="694" spans="2:9" x14ac:dyDescent="0.25">
      <c r="B694" s="2" t="s">
        <v>700</v>
      </c>
      <c r="C694" s="3">
        <v>23</v>
      </c>
      <c r="D694" s="3" t="s">
        <v>870</v>
      </c>
      <c r="E694" s="2">
        <v>2017</v>
      </c>
      <c r="F694" s="3">
        <v>15</v>
      </c>
      <c r="G694" s="3" t="s">
        <v>868</v>
      </c>
      <c r="H694" s="19">
        <v>2017</v>
      </c>
      <c r="I694" s="2" t="s">
        <v>2</v>
      </c>
    </row>
    <row r="695" spans="2:9" x14ac:dyDescent="0.25">
      <c r="B695" s="2" t="s">
        <v>701</v>
      </c>
      <c r="C695" s="3">
        <v>24</v>
      </c>
      <c r="D695" s="3" t="s">
        <v>870</v>
      </c>
      <c r="E695" s="2">
        <v>2017</v>
      </c>
      <c r="F695" s="3">
        <v>15</v>
      </c>
      <c r="G695" s="3" t="s">
        <v>863</v>
      </c>
      <c r="H695" s="19">
        <v>2016</v>
      </c>
      <c r="I695" s="2" t="s">
        <v>2</v>
      </c>
    </row>
    <row r="696" spans="2:9" x14ac:dyDescent="0.25">
      <c r="B696" s="2" t="s">
        <v>702</v>
      </c>
      <c r="C696" s="3">
        <v>24</v>
      </c>
      <c r="D696" s="3" t="s">
        <v>870</v>
      </c>
      <c r="E696" s="2">
        <v>2017</v>
      </c>
      <c r="F696" s="3">
        <v>23</v>
      </c>
      <c r="G696" s="3" t="s">
        <v>858</v>
      </c>
      <c r="H696" s="19">
        <v>2016</v>
      </c>
      <c r="I696" s="2" t="s">
        <v>3</v>
      </c>
    </row>
    <row r="697" spans="2:9" x14ac:dyDescent="0.25">
      <c r="B697" s="2" t="s">
        <v>703</v>
      </c>
      <c r="C697" s="3">
        <v>26</v>
      </c>
      <c r="D697" s="3" t="s">
        <v>870</v>
      </c>
      <c r="E697" s="2">
        <v>2017</v>
      </c>
      <c r="F697" s="3">
        <v>8</v>
      </c>
      <c r="G697" s="3" t="s">
        <v>868</v>
      </c>
      <c r="H697" s="19">
        <v>2017</v>
      </c>
      <c r="I697" s="2" t="s">
        <v>2</v>
      </c>
    </row>
    <row r="698" spans="2:9" x14ac:dyDescent="0.25">
      <c r="B698" s="2" t="s">
        <v>704</v>
      </c>
      <c r="C698" s="3">
        <v>26</v>
      </c>
      <c r="D698" s="3" t="s">
        <v>870</v>
      </c>
      <c r="E698" s="2">
        <v>2017</v>
      </c>
      <c r="F698" s="3">
        <v>26</v>
      </c>
      <c r="G698" s="3" t="s">
        <v>863</v>
      </c>
      <c r="H698" s="19">
        <v>2017</v>
      </c>
      <c r="I698" s="2" t="s">
        <v>2</v>
      </c>
    </row>
    <row r="699" spans="2:9" x14ac:dyDescent="0.25">
      <c r="B699" s="2" t="s">
        <v>705</v>
      </c>
      <c r="C699" s="3">
        <v>26</v>
      </c>
      <c r="D699" s="3" t="s">
        <v>870</v>
      </c>
      <c r="E699" s="2">
        <v>2017</v>
      </c>
      <c r="F699" s="3">
        <v>25</v>
      </c>
      <c r="G699" s="3" t="s">
        <v>863</v>
      </c>
      <c r="H699" s="19">
        <v>2017</v>
      </c>
      <c r="I699" s="2" t="s">
        <v>2</v>
      </c>
    </row>
    <row r="700" spans="2:9" x14ac:dyDescent="0.25">
      <c r="B700" s="2" t="s">
        <v>706</v>
      </c>
      <c r="C700" s="3">
        <v>26</v>
      </c>
      <c r="D700" s="3" t="s">
        <v>870</v>
      </c>
      <c r="E700" s="2">
        <v>2017</v>
      </c>
      <c r="F700" s="3">
        <v>19</v>
      </c>
      <c r="G700" s="3" t="s">
        <v>870</v>
      </c>
      <c r="H700" s="19">
        <v>2017</v>
      </c>
      <c r="I700" s="2" t="s">
        <v>3</v>
      </c>
    </row>
    <row r="701" spans="2:9" x14ac:dyDescent="0.25">
      <c r="B701" s="2" t="s">
        <v>707</v>
      </c>
      <c r="C701" s="3">
        <v>27</v>
      </c>
      <c r="D701" s="3" t="s">
        <v>870</v>
      </c>
      <c r="E701" s="2">
        <v>2017</v>
      </c>
      <c r="F701" s="3">
        <v>10</v>
      </c>
      <c r="G701" s="3" t="s">
        <v>865</v>
      </c>
      <c r="H701" s="19">
        <v>2006</v>
      </c>
      <c r="I701" s="2" t="s">
        <v>3</v>
      </c>
    </row>
    <row r="702" spans="2:9" x14ac:dyDescent="0.25">
      <c r="B702" s="2" t="s">
        <v>708</v>
      </c>
      <c r="C702" s="3">
        <v>28</v>
      </c>
      <c r="D702" s="3" t="s">
        <v>870</v>
      </c>
      <c r="E702" s="2">
        <v>2017</v>
      </c>
      <c r="F702" s="3">
        <v>20</v>
      </c>
      <c r="G702" s="3" t="s">
        <v>861</v>
      </c>
      <c r="H702" s="19">
        <v>2017</v>
      </c>
      <c r="I702" s="2" t="s">
        <v>3</v>
      </c>
    </row>
    <row r="703" spans="2:9" x14ac:dyDescent="0.25">
      <c r="B703" s="2" t="s">
        <v>709</v>
      </c>
      <c r="C703" s="3">
        <v>28</v>
      </c>
      <c r="D703" s="3" t="s">
        <v>870</v>
      </c>
      <c r="E703" s="2">
        <v>2017</v>
      </c>
      <c r="F703" s="3">
        <v>11</v>
      </c>
      <c r="G703" s="3" t="s">
        <v>869</v>
      </c>
      <c r="H703" s="19">
        <v>2015</v>
      </c>
      <c r="I703" s="2" t="s">
        <v>3</v>
      </c>
    </row>
    <row r="704" spans="2:9" x14ac:dyDescent="0.25">
      <c r="B704" s="2" t="s">
        <v>710</v>
      </c>
      <c r="C704" s="3">
        <v>28</v>
      </c>
      <c r="D704" s="3" t="s">
        <v>870</v>
      </c>
      <c r="E704" s="2">
        <v>2017</v>
      </c>
      <c r="F704" s="3">
        <v>26</v>
      </c>
      <c r="G704" s="3" t="s">
        <v>868</v>
      </c>
      <c r="H704" s="19">
        <v>2017</v>
      </c>
      <c r="I704" s="2" t="s">
        <v>2</v>
      </c>
    </row>
    <row r="705" spans="2:9" x14ac:dyDescent="0.25">
      <c r="B705" s="2" t="s">
        <v>711</v>
      </c>
      <c r="C705" s="3">
        <v>28</v>
      </c>
      <c r="D705" s="3" t="s">
        <v>870</v>
      </c>
      <c r="E705" s="2">
        <v>2017</v>
      </c>
      <c r="F705" s="3">
        <v>18</v>
      </c>
      <c r="G705" s="3" t="s">
        <v>870</v>
      </c>
      <c r="H705" s="19">
        <v>2017</v>
      </c>
      <c r="I705" s="2" t="s">
        <v>2</v>
      </c>
    </row>
    <row r="706" spans="2:9" x14ac:dyDescent="0.25">
      <c r="B706" s="2" t="s">
        <v>712</v>
      </c>
      <c r="C706" s="3">
        <v>28</v>
      </c>
      <c r="D706" s="3" t="s">
        <v>870</v>
      </c>
      <c r="E706" s="2">
        <v>2017</v>
      </c>
      <c r="F706" s="3">
        <v>21</v>
      </c>
      <c r="G706" s="3" t="s">
        <v>856</v>
      </c>
      <c r="H706" s="19">
        <v>2017</v>
      </c>
      <c r="I706" s="2" t="s">
        <v>2</v>
      </c>
    </row>
    <row r="707" spans="2:9" x14ac:dyDescent="0.25">
      <c r="B707" s="2" t="s">
        <v>713</v>
      </c>
      <c r="C707" s="3">
        <v>28</v>
      </c>
      <c r="D707" s="3" t="s">
        <v>870</v>
      </c>
      <c r="E707" s="2">
        <v>2017</v>
      </c>
      <c r="F707" s="3">
        <v>13</v>
      </c>
      <c r="G707" s="3" t="s">
        <v>870</v>
      </c>
      <c r="H707" s="19">
        <v>2017</v>
      </c>
      <c r="I707" s="2" t="s">
        <v>2</v>
      </c>
    </row>
    <row r="708" spans="2:9" x14ac:dyDescent="0.25">
      <c r="B708" s="2" t="s">
        <v>714</v>
      </c>
      <c r="C708" s="3">
        <v>28</v>
      </c>
      <c r="D708" s="3" t="s">
        <v>870</v>
      </c>
      <c r="E708" s="2">
        <v>2017</v>
      </c>
      <c r="F708" s="3">
        <v>4</v>
      </c>
      <c r="G708" s="3" t="s">
        <v>870</v>
      </c>
      <c r="H708" s="19">
        <v>2017</v>
      </c>
      <c r="I708" s="2" t="s">
        <v>3</v>
      </c>
    </row>
    <row r="709" spans="2:9" x14ac:dyDescent="0.25">
      <c r="B709" s="2" t="s">
        <v>715</v>
      </c>
      <c r="C709" s="3">
        <v>28</v>
      </c>
      <c r="D709" s="3" t="s">
        <v>870</v>
      </c>
      <c r="E709" s="2">
        <v>2017</v>
      </c>
      <c r="F709" s="3">
        <v>16</v>
      </c>
      <c r="G709" s="3" t="s">
        <v>863</v>
      </c>
      <c r="H709" s="19">
        <v>2017</v>
      </c>
      <c r="I709" s="2" t="s">
        <v>3</v>
      </c>
    </row>
    <row r="710" spans="2:9" x14ac:dyDescent="0.25">
      <c r="B710" s="2" t="s">
        <v>716</v>
      </c>
      <c r="C710" s="3">
        <v>28</v>
      </c>
      <c r="D710" s="3" t="s">
        <v>870</v>
      </c>
      <c r="E710" s="2">
        <v>2017</v>
      </c>
      <c r="F710" s="3">
        <v>27</v>
      </c>
      <c r="G710" s="3" t="s">
        <v>863</v>
      </c>
      <c r="H710" s="19">
        <v>2015</v>
      </c>
      <c r="I710" s="2" t="s">
        <v>3</v>
      </c>
    </row>
    <row r="711" spans="2:9" x14ac:dyDescent="0.25">
      <c r="B711" s="2" t="s">
        <v>717</v>
      </c>
      <c r="C711" s="3">
        <v>28</v>
      </c>
      <c r="D711" s="3" t="s">
        <v>870</v>
      </c>
      <c r="E711" s="2">
        <v>2017</v>
      </c>
      <c r="F711" s="3">
        <v>19</v>
      </c>
      <c r="G711" s="3" t="s">
        <v>856</v>
      </c>
      <c r="H711" s="19">
        <v>2017</v>
      </c>
      <c r="I711" s="2" t="s">
        <v>3</v>
      </c>
    </row>
    <row r="712" spans="2:9" x14ac:dyDescent="0.25">
      <c r="B712" s="2" t="s">
        <v>718</v>
      </c>
      <c r="C712" s="3">
        <v>28</v>
      </c>
      <c r="D712" s="3" t="s">
        <v>870</v>
      </c>
      <c r="E712" s="2">
        <v>2017</v>
      </c>
      <c r="F712" s="3">
        <v>29</v>
      </c>
      <c r="G712" s="3" t="s">
        <v>865</v>
      </c>
      <c r="H712" s="19">
        <v>2017</v>
      </c>
      <c r="I712" s="2" t="s">
        <v>2</v>
      </c>
    </row>
    <row r="713" spans="2:9" x14ac:dyDescent="0.25">
      <c r="B713" s="2" t="s">
        <v>719</v>
      </c>
      <c r="C713" s="3">
        <v>28</v>
      </c>
      <c r="D713" s="3" t="s">
        <v>870</v>
      </c>
      <c r="E713" s="2">
        <v>2017</v>
      </c>
      <c r="F713" s="3">
        <v>23</v>
      </c>
      <c r="G713" s="3" t="s">
        <v>857</v>
      </c>
      <c r="H713" s="19">
        <v>2016</v>
      </c>
      <c r="I713" s="2" t="s">
        <v>2</v>
      </c>
    </row>
    <row r="714" spans="2:9" x14ac:dyDescent="0.25">
      <c r="B714" s="2" t="s">
        <v>720</v>
      </c>
      <c r="C714" s="3">
        <v>28</v>
      </c>
      <c r="D714" s="3" t="s">
        <v>870</v>
      </c>
      <c r="E714" s="2">
        <v>2017</v>
      </c>
      <c r="F714" s="3">
        <v>12</v>
      </c>
      <c r="G714" s="3" t="s">
        <v>868</v>
      </c>
      <c r="H714" s="19">
        <v>2017</v>
      </c>
      <c r="I714" s="2" t="s">
        <v>2</v>
      </c>
    </row>
    <row r="715" spans="2:9" x14ac:dyDescent="0.25">
      <c r="B715" s="2" t="s">
        <v>721</v>
      </c>
      <c r="C715" s="3">
        <v>28</v>
      </c>
      <c r="D715" s="3" t="s">
        <v>870</v>
      </c>
      <c r="E715" s="2">
        <v>2017</v>
      </c>
      <c r="F715" s="3">
        <v>25</v>
      </c>
      <c r="G715" s="3" t="s">
        <v>868</v>
      </c>
      <c r="H715" s="19">
        <v>2014</v>
      </c>
      <c r="I715" s="2" t="s">
        <v>2</v>
      </c>
    </row>
    <row r="716" spans="2:9" x14ac:dyDescent="0.25">
      <c r="B716" s="2" t="s">
        <v>722</v>
      </c>
      <c r="C716" s="3">
        <v>30</v>
      </c>
      <c r="D716" s="3" t="s">
        <v>870</v>
      </c>
      <c r="E716" s="2">
        <v>2017</v>
      </c>
      <c r="F716" s="3">
        <v>21</v>
      </c>
      <c r="G716" s="3" t="s">
        <v>866</v>
      </c>
      <c r="H716" s="19">
        <v>2017</v>
      </c>
      <c r="I716" s="2" t="s">
        <v>2</v>
      </c>
    </row>
    <row r="717" spans="2:9" x14ac:dyDescent="0.25">
      <c r="B717" s="2" t="s">
        <v>723</v>
      </c>
      <c r="C717" s="3">
        <v>30</v>
      </c>
      <c r="D717" s="3" t="s">
        <v>870</v>
      </c>
      <c r="E717" s="2">
        <v>2017</v>
      </c>
      <c r="F717" s="3">
        <v>13</v>
      </c>
      <c r="G717" s="3" t="s">
        <v>870</v>
      </c>
      <c r="H717" s="19">
        <v>2017</v>
      </c>
      <c r="I717" s="2" t="s">
        <v>3</v>
      </c>
    </row>
    <row r="718" spans="2:9" x14ac:dyDescent="0.25">
      <c r="B718" s="2" t="s">
        <v>724</v>
      </c>
      <c r="C718" s="3">
        <v>30</v>
      </c>
      <c r="D718" s="3" t="s">
        <v>870</v>
      </c>
      <c r="E718" s="2">
        <v>2017</v>
      </c>
      <c r="F718" s="3">
        <v>8</v>
      </c>
      <c r="G718" s="3" t="s">
        <v>870</v>
      </c>
      <c r="H718" s="19">
        <v>2017</v>
      </c>
      <c r="I718" s="2" t="s">
        <v>2</v>
      </c>
    </row>
    <row r="719" spans="2:9" x14ac:dyDescent="0.25">
      <c r="B719" s="2" t="s">
        <v>725</v>
      </c>
      <c r="C719" s="3">
        <v>30</v>
      </c>
      <c r="D719" s="3" t="s">
        <v>870</v>
      </c>
      <c r="E719" s="2">
        <v>2017</v>
      </c>
      <c r="F719" s="3">
        <v>13</v>
      </c>
      <c r="G719" s="3" t="s">
        <v>869</v>
      </c>
      <c r="H719" s="19">
        <v>2017</v>
      </c>
      <c r="I719" s="2" t="s">
        <v>2</v>
      </c>
    </row>
    <row r="720" spans="2:9" x14ac:dyDescent="0.25">
      <c r="B720" s="2" t="s">
        <v>726</v>
      </c>
      <c r="C720" s="3">
        <v>30</v>
      </c>
      <c r="D720" s="3" t="s">
        <v>870</v>
      </c>
      <c r="E720" s="2">
        <v>2017</v>
      </c>
      <c r="F720" s="3">
        <v>27</v>
      </c>
      <c r="G720" s="3" t="s">
        <v>870</v>
      </c>
      <c r="H720" s="19">
        <v>2017</v>
      </c>
      <c r="I720" s="2" t="s">
        <v>3</v>
      </c>
    </row>
    <row r="721" spans="2:9" x14ac:dyDescent="0.25">
      <c r="B721" s="2" t="s">
        <v>727</v>
      </c>
      <c r="C721" s="3">
        <v>30</v>
      </c>
      <c r="D721" s="3" t="s">
        <v>870</v>
      </c>
      <c r="E721" s="2">
        <v>2017</v>
      </c>
      <c r="F721" s="3">
        <v>17</v>
      </c>
      <c r="G721" s="3" t="s">
        <v>863</v>
      </c>
      <c r="H721" s="19">
        <v>2017</v>
      </c>
      <c r="I721" s="2" t="s">
        <v>3</v>
      </c>
    </row>
    <row r="722" spans="2:9" x14ac:dyDescent="0.25">
      <c r="B722" s="2" t="s">
        <v>728</v>
      </c>
      <c r="C722" s="3">
        <v>31</v>
      </c>
      <c r="D722" s="3" t="s">
        <v>870</v>
      </c>
      <c r="E722" s="2">
        <v>2017</v>
      </c>
      <c r="F722" s="3">
        <v>16</v>
      </c>
      <c r="G722" s="3" t="s">
        <v>869</v>
      </c>
      <c r="H722" s="19">
        <v>2016</v>
      </c>
      <c r="I722" s="2" t="s">
        <v>2</v>
      </c>
    </row>
    <row r="723" spans="2:9" x14ac:dyDescent="0.25">
      <c r="B723" s="2" t="s">
        <v>729</v>
      </c>
      <c r="C723" s="3">
        <v>31</v>
      </c>
      <c r="D723" s="3" t="s">
        <v>870</v>
      </c>
      <c r="E723" s="2">
        <v>2017</v>
      </c>
      <c r="F723" s="3">
        <v>30</v>
      </c>
      <c r="G723" s="3" t="s">
        <v>857</v>
      </c>
      <c r="H723" s="19">
        <v>2015</v>
      </c>
      <c r="I723" s="2" t="s">
        <v>2</v>
      </c>
    </row>
    <row r="724" spans="2:9" x14ac:dyDescent="0.25">
      <c r="B724" s="2" t="s">
        <v>730</v>
      </c>
      <c r="C724" s="3">
        <v>31</v>
      </c>
      <c r="D724" s="3" t="s">
        <v>870</v>
      </c>
      <c r="E724" s="2">
        <v>2017</v>
      </c>
      <c r="F724" s="3">
        <v>26</v>
      </c>
      <c r="G724" s="3" t="s">
        <v>863</v>
      </c>
      <c r="H724" s="21">
        <v>2017</v>
      </c>
      <c r="I724" s="2" t="s">
        <v>2</v>
      </c>
    </row>
    <row r="725" spans="2:9" x14ac:dyDescent="0.25">
      <c r="B725" s="1" t="s">
        <v>731</v>
      </c>
      <c r="C725" s="3">
        <v>6</v>
      </c>
      <c r="D725" s="3" t="s">
        <v>858</v>
      </c>
      <c r="E725" s="2">
        <v>2017</v>
      </c>
      <c r="F725" s="3">
        <v>3</v>
      </c>
      <c r="G725" s="3" t="s">
        <v>867</v>
      </c>
      <c r="H725" s="17">
        <v>2015</v>
      </c>
      <c r="I725" s="9" t="s">
        <v>2</v>
      </c>
    </row>
    <row r="726" spans="2:9" x14ac:dyDescent="0.25">
      <c r="B726" s="1" t="s">
        <v>732</v>
      </c>
      <c r="C726" s="3">
        <v>6</v>
      </c>
      <c r="D726" s="3" t="s">
        <v>858</v>
      </c>
      <c r="E726" s="2">
        <v>2017</v>
      </c>
      <c r="F726" s="3">
        <v>23</v>
      </c>
      <c r="G726" s="3" t="s">
        <v>870</v>
      </c>
      <c r="H726" s="19">
        <v>2017</v>
      </c>
      <c r="I726" s="2" t="s">
        <v>2</v>
      </c>
    </row>
    <row r="727" spans="2:9" x14ac:dyDescent="0.25">
      <c r="B727" s="1" t="s">
        <v>733</v>
      </c>
      <c r="C727" s="3">
        <v>6</v>
      </c>
      <c r="D727" s="3" t="s">
        <v>858</v>
      </c>
      <c r="E727" s="2">
        <v>2017</v>
      </c>
      <c r="F727" s="3">
        <v>29</v>
      </c>
      <c r="G727" s="3" t="s">
        <v>870</v>
      </c>
      <c r="H727" s="19">
        <v>2017</v>
      </c>
      <c r="I727" s="2" t="s">
        <v>3</v>
      </c>
    </row>
    <row r="728" spans="2:9" x14ac:dyDescent="0.25">
      <c r="B728" s="1" t="s">
        <v>734</v>
      </c>
      <c r="C728" s="3">
        <v>7</v>
      </c>
      <c r="D728" s="3" t="s">
        <v>858</v>
      </c>
      <c r="E728" s="2">
        <v>2017</v>
      </c>
      <c r="F728" s="3">
        <v>15</v>
      </c>
      <c r="G728" s="3" t="s">
        <v>857</v>
      </c>
      <c r="H728" s="19">
        <v>2016</v>
      </c>
      <c r="I728" s="2" t="s">
        <v>2</v>
      </c>
    </row>
    <row r="729" spans="2:9" x14ac:dyDescent="0.25">
      <c r="B729" s="1" t="s">
        <v>735</v>
      </c>
      <c r="C729" s="3">
        <v>7</v>
      </c>
      <c r="D729" s="3" t="s">
        <v>858</v>
      </c>
      <c r="E729" s="2">
        <v>2017</v>
      </c>
      <c r="F729" s="3">
        <v>11</v>
      </c>
      <c r="G729" s="3" t="s">
        <v>870</v>
      </c>
      <c r="H729" s="19">
        <v>2017</v>
      </c>
      <c r="I729" s="2" t="s">
        <v>2</v>
      </c>
    </row>
    <row r="730" spans="2:9" x14ac:dyDescent="0.25">
      <c r="B730" s="1" t="s">
        <v>736</v>
      </c>
      <c r="C730" s="3">
        <v>8</v>
      </c>
      <c r="D730" s="3" t="s">
        <v>858</v>
      </c>
      <c r="E730" s="2">
        <v>2017</v>
      </c>
      <c r="F730" s="3">
        <v>12</v>
      </c>
      <c r="G730" s="3" t="s">
        <v>870</v>
      </c>
      <c r="H730" s="19">
        <v>2017</v>
      </c>
      <c r="I730" s="2" t="s">
        <v>3</v>
      </c>
    </row>
    <row r="731" spans="2:9" x14ac:dyDescent="0.25">
      <c r="B731" s="1" t="s">
        <v>737</v>
      </c>
      <c r="C731" s="3">
        <v>8</v>
      </c>
      <c r="D731" s="3" t="s">
        <v>858</v>
      </c>
      <c r="E731" s="2">
        <v>2017</v>
      </c>
      <c r="F731" s="3">
        <v>8</v>
      </c>
      <c r="G731" s="3" t="s">
        <v>863</v>
      </c>
      <c r="H731" s="19">
        <v>2017</v>
      </c>
      <c r="I731" s="2" t="s">
        <v>2</v>
      </c>
    </row>
    <row r="732" spans="2:9" x14ac:dyDescent="0.25">
      <c r="B732" s="1" t="s">
        <v>738</v>
      </c>
      <c r="C732" s="3">
        <v>8</v>
      </c>
      <c r="D732" s="3" t="s">
        <v>858</v>
      </c>
      <c r="E732" s="2">
        <v>2017</v>
      </c>
      <c r="F732" s="3">
        <v>2</v>
      </c>
      <c r="G732" s="3" t="s">
        <v>858</v>
      </c>
      <c r="H732" s="19">
        <v>2017</v>
      </c>
      <c r="I732" s="2" t="s">
        <v>2</v>
      </c>
    </row>
    <row r="733" spans="2:9" x14ac:dyDescent="0.25">
      <c r="B733" s="1" t="s">
        <v>739</v>
      </c>
      <c r="C733" s="3">
        <v>8</v>
      </c>
      <c r="D733" s="3" t="s">
        <v>858</v>
      </c>
      <c r="E733" s="2">
        <v>2017</v>
      </c>
      <c r="F733" s="3">
        <v>13</v>
      </c>
      <c r="G733" s="3" t="s">
        <v>856</v>
      </c>
      <c r="H733" s="19">
        <v>1976</v>
      </c>
      <c r="I733" s="2" t="s">
        <v>3</v>
      </c>
    </row>
    <row r="734" spans="2:9" x14ac:dyDescent="0.25">
      <c r="B734" s="1" t="s">
        <v>740</v>
      </c>
      <c r="C734" s="3">
        <v>8</v>
      </c>
      <c r="D734" s="3" t="s">
        <v>858</v>
      </c>
      <c r="E734" s="2">
        <v>2017</v>
      </c>
      <c r="F734" s="3">
        <v>25</v>
      </c>
      <c r="G734" s="3" t="s">
        <v>863</v>
      </c>
      <c r="H734" s="19">
        <v>2017</v>
      </c>
      <c r="I734" s="2" t="s">
        <v>2</v>
      </c>
    </row>
    <row r="735" spans="2:9" x14ac:dyDescent="0.25">
      <c r="B735" s="1" t="s">
        <v>741</v>
      </c>
      <c r="C735" s="3">
        <v>8</v>
      </c>
      <c r="D735" s="3" t="s">
        <v>858</v>
      </c>
      <c r="E735" s="2">
        <v>2017</v>
      </c>
      <c r="F735" s="3">
        <v>27</v>
      </c>
      <c r="G735" s="3" t="s">
        <v>870</v>
      </c>
      <c r="H735" s="19">
        <v>2017</v>
      </c>
      <c r="I735" s="2" t="s">
        <v>3</v>
      </c>
    </row>
    <row r="736" spans="2:9" x14ac:dyDescent="0.25">
      <c r="B736" s="1" t="s">
        <v>742</v>
      </c>
      <c r="C736" s="3">
        <v>8</v>
      </c>
      <c r="D736" s="3" t="s">
        <v>858</v>
      </c>
      <c r="E736" s="2">
        <v>2017</v>
      </c>
      <c r="F736" s="3">
        <v>24</v>
      </c>
      <c r="G736" s="3" t="s">
        <v>866</v>
      </c>
      <c r="H736" s="19">
        <v>2002</v>
      </c>
      <c r="I736" s="2" t="s">
        <v>3</v>
      </c>
    </row>
    <row r="737" spans="2:9" x14ac:dyDescent="0.25">
      <c r="B737" s="1" t="s">
        <v>743</v>
      </c>
      <c r="C737" s="3">
        <v>8</v>
      </c>
      <c r="D737" s="3" t="s">
        <v>858</v>
      </c>
      <c r="E737" s="2">
        <v>2017</v>
      </c>
      <c r="F737" s="3">
        <v>9</v>
      </c>
      <c r="G737" s="3" t="s">
        <v>863</v>
      </c>
      <c r="H737" s="19">
        <v>2017</v>
      </c>
      <c r="I737" s="2" t="s">
        <v>3</v>
      </c>
    </row>
    <row r="738" spans="2:9" x14ac:dyDescent="0.25">
      <c r="B738" s="1" t="s">
        <v>744</v>
      </c>
      <c r="C738" s="3">
        <v>8</v>
      </c>
      <c r="D738" s="3" t="s">
        <v>858</v>
      </c>
      <c r="E738" s="2">
        <v>2017</v>
      </c>
      <c r="F738" s="3">
        <v>2</v>
      </c>
      <c r="G738" s="3" t="s">
        <v>870</v>
      </c>
      <c r="H738" s="19">
        <v>2007</v>
      </c>
      <c r="I738" s="2" t="s">
        <v>3</v>
      </c>
    </row>
    <row r="739" spans="2:9" x14ac:dyDescent="0.25">
      <c r="B739" s="1" t="s">
        <v>745</v>
      </c>
      <c r="C739" s="3">
        <v>9</v>
      </c>
      <c r="D739" s="3" t="s">
        <v>858</v>
      </c>
      <c r="E739" s="2">
        <v>2017</v>
      </c>
      <c r="F739" s="3">
        <v>9</v>
      </c>
      <c r="G739" s="3" t="s">
        <v>867</v>
      </c>
      <c r="H739" s="19">
        <v>2002</v>
      </c>
      <c r="I739" s="2" t="s">
        <v>3</v>
      </c>
    </row>
    <row r="740" spans="2:9" x14ac:dyDescent="0.25">
      <c r="B740" s="1" t="s">
        <v>746</v>
      </c>
      <c r="C740" s="3">
        <v>9</v>
      </c>
      <c r="D740" s="3" t="s">
        <v>858</v>
      </c>
      <c r="E740" s="2">
        <v>2017</v>
      </c>
      <c r="F740" s="3">
        <v>7</v>
      </c>
      <c r="G740" s="3" t="s">
        <v>866</v>
      </c>
      <c r="H740" s="19">
        <v>2003</v>
      </c>
      <c r="I740" s="2" t="s">
        <v>3</v>
      </c>
    </row>
    <row r="741" spans="2:9" x14ac:dyDescent="0.25">
      <c r="B741" s="1" t="s">
        <v>747</v>
      </c>
      <c r="C741" s="3">
        <v>9</v>
      </c>
      <c r="D741" s="3" t="s">
        <v>858</v>
      </c>
      <c r="E741" s="2">
        <v>2017</v>
      </c>
      <c r="F741" s="3">
        <v>18</v>
      </c>
      <c r="G741" s="3" t="s">
        <v>869</v>
      </c>
      <c r="H741" s="19">
        <v>2004</v>
      </c>
      <c r="I741" s="2" t="s">
        <v>3</v>
      </c>
    </row>
    <row r="742" spans="2:9" x14ac:dyDescent="0.25">
      <c r="B742" s="1" t="s">
        <v>748</v>
      </c>
      <c r="C742" s="3">
        <v>9</v>
      </c>
      <c r="D742" s="3" t="s">
        <v>858</v>
      </c>
      <c r="E742" s="2">
        <v>2017</v>
      </c>
      <c r="F742" s="3">
        <v>7</v>
      </c>
      <c r="G742" s="3" t="s">
        <v>865</v>
      </c>
      <c r="H742" s="19">
        <v>2005</v>
      </c>
      <c r="I742" s="2" t="s">
        <v>3</v>
      </c>
    </row>
    <row r="743" spans="2:9" x14ac:dyDescent="0.25">
      <c r="B743" s="1" t="s">
        <v>749</v>
      </c>
      <c r="C743" s="3">
        <v>10</v>
      </c>
      <c r="D743" s="3" t="s">
        <v>858</v>
      </c>
      <c r="E743" s="2">
        <v>2017</v>
      </c>
      <c r="F743" s="3">
        <v>16</v>
      </c>
      <c r="G743" s="3" t="s">
        <v>870</v>
      </c>
      <c r="H743" s="19">
        <v>2017</v>
      </c>
      <c r="I743" s="2" t="s">
        <v>3</v>
      </c>
    </row>
    <row r="744" spans="2:9" x14ac:dyDescent="0.25">
      <c r="B744" s="1" t="s">
        <v>750</v>
      </c>
      <c r="C744" s="3">
        <v>10</v>
      </c>
      <c r="D744" s="3" t="s">
        <v>858</v>
      </c>
      <c r="E744" s="2">
        <v>2017</v>
      </c>
      <c r="F744" s="3">
        <v>4</v>
      </c>
      <c r="G744" s="3" t="s">
        <v>857</v>
      </c>
      <c r="H744" s="19">
        <v>1961</v>
      </c>
      <c r="I744" s="2" t="s">
        <v>3</v>
      </c>
    </row>
    <row r="745" spans="2:9" x14ac:dyDescent="0.25">
      <c r="B745" s="1" t="s">
        <v>751</v>
      </c>
      <c r="C745" s="3">
        <v>10</v>
      </c>
      <c r="D745" s="3" t="s">
        <v>858</v>
      </c>
      <c r="E745" s="2">
        <v>2017</v>
      </c>
      <c r="F745" s="3">
        <v>29</v>
      </c>
      <c r="G745" s="3" t="s">
        <v>869</v>
      </c>
      <c r="H745" s="19">
        <v>2017</v>
      </c>
      <c r="I745" s="2" t="s">
        <v>2</v>
      </c>
    </row>
    <row r="746" spans="2:9" x14ac:dyDescent="0.25">
      <c r="B746" s="1" t="s">
        <v>752</v>
      </c>
      <c r="C746" s="3">
        <v>10</v>
      </c>
      <c r="D746" s="3" t="s">
        <v>858</v>
      </c>
      <c r="E746" s="2">
        <v>2017</v>
      </c>
      <c r="F746" s="3">
        <v>24</v>
      </c>
      <c r="G746" s="3" t="s">
        <v>863</v>
      </c>
      <c r="H746" s="19">
        <v>2017</v>
      </c>
      <c r="I746" s="2" t="s">
        <v>3</v>
      </c>
    </row>
    <row r="747" spans="2:9" x14ac:dyDescent="0.25">
      <c r="B747" s="1" t="s">
        <v>753</v>
      </c>
      <c r="C747" s="3">
        <v>11</v>
      </c>
      <c r="D747" s="3" t="s">
        <v>858</v>
      </c>
      <c r="E747" s="2">
        <v>2017</v>
      </c>
      <c r="F747" s="3">
        <v>4</v>
      </c>
      <c r="G747" s="3" t="s">
        <v>858</v>
      </c>
      <c r="H747" s="19">
        <v>2017</v>
      </c>
      <c r="I747" s="2" t="s">
        <v>2</v>
      </c>
    </row>
    <row r="748" spans="2:9" x14ac:dyDescent="0.25">
      <c r="B748" s="1" t="s">
        <v>754</v>
      </c>
      <c r="C748" s="3">
        <v>11</v>
      </c>
      <c r="D748" s="3" t="s">
        <v>858</v>
      </c>
      <c r="E748" s="2">
        <v>2017</v>
      </c>
      <c r="F748" s="3">
        <v>16</v>
      </c>
      <c r="G748" s="3" t="s">
        <v>870</v>
      </c>
      <c r="H748" s="19">
        <v>2017</v>
      </c>
      <c r="I748" s="2" t="s">
        <v>2</v>
      </c>
    </row>
    <row r="749" spans="2:9" x14ac:dyDescent="0.25">
      <c r="B749" s="1" t="s">
        <v>755</v>
      </c>
      <c r="C749" s="3">
        <v>11</v>
      </c>
      <c r="D749" s="3" t="s">
        <v>858</v>
      </c>
      <c r="E749" s="2">
        <v>2017</v>
      </c>
      <c r="F749" s="3">
        <v>29</v>
      </c>
      <c r="G749" s="3" t="s">
        <v>869</v>
      </c>
      <c r="H749" s="19">
        <v>2017</v>
      </c>
      <c r="I749" s="2" t="s">
        <v>3</v>
      </c>
    </row>
    <row r="750" spans="2:9" x14ac:dyDescent="0.25">
      <c r="B750" s="1" t="s">
        <v>756</v>
      </c>
      <c r="C750" s="3">
        <v>11</v>
      </c>
      <c r="D750" s="3" t="s">
        <v>858</v>
      </c>
      <c r="E750" s="2">
        <v>2017</v>
      </c>
      <c r="F750" s="3">
        <v>13</v>
      </c>
      <c r="G750" s="3" t="s">
        <v>869</v>
      </c>
      <c r="H750" s="35">
        <v>2014</v>
      </c>
      <c r="I750" s="10" t="s">
        <v>2</v>
      </c>
    </row>
    <row r="751" spans="2:9" x14ac:dyDescent="0.25">
      <c r="B751" s="1" t="s">
        <v>757</v>
      </c>
      <c r="C751" s="3">
        <v>11</v>
      </c>
      <c r="D751" s="3" t="s">
        <v>858</v>
      </c>
      <c r="E751" s="2">
        <v>2017</v>
      </c>
      <c r="F751" s="3">
        <v>2</v>
      </c>
      <c r="G751" s="3" t="s">
        <v>869</v>
      </c>
      <c r="H751" s="19">
        <v>2017</v>
      </c>
      <c r="I751" s="2" t="s">
        <v>2</v>
      </c>
    </row>
    <row r="752" spans="2:9" x14ac:dyDescent="0.25">
      <c r="B752" s="1" t="s">
        <v>758</v>
      </c>
      <c r="C752" s="3">
        <v>11</v>
      </c>
      <c r="D752" s="3" t="s">
        <v>858</v>
      </c>
      <c r="E752" s="2">
        <v>2017</v>
      </c>
      <c r="F752" s="3">
        <v>30</v>
      </c>
      <c r="G752" s="3" t="s">
        <v>858</v>
      </c>
      <c r="H752" s="35">
        <v>2015</v>
      </c>
      <c r="I752" s="10" t="s">
        <v>2</v>
      </c>
    </row>
    <row r="753" spans="2:9" x14ac:dyDescent="0.25">
      <c r="B753" s="1" t="s">
        <v>759</v>
      </c>
      <c r="C753" s="3">
        <v>13</v>
      </c>
      <c r="D753" s="3" t="s">
        <v>858</v>
      </c>
      <c r="E753" s="2">
        <v>2017</v>
      </c>
      <c r="F753" s="3">
        <v>18</v>
      </c>
      <c r="G753" s="3" t="s">
        <v>870</v>
      </c>
      <c r="H753" s="19">
        <v>2017</v>
      </c>
      <c r="I753" s="2" t="s">
        <v>2</v>
      </c>
    </row>
    <row r="754" spans="2:9" x14ac:dyDescent="0.25">
      <c r="B754" s="1" t="s">
        <v>760</v>
      </c>
      <c r="C754" s="3">
        <v>13</v>
      </c>
      <c r="D754" s="3" t="s">
        <v>858</v>
      </c>
      <c r="E754" s="2">
        <v>2017</v>
      </c>
      <c r="F754" s="3">
        <v>28</v>
      </c>
      <c r="G754" s="3" t="s">
        <v>870</v>
      </c>
      <c r="H754" s="19">
        <v>2017</v>
      </c>
      <c r="I754" s="2" t="s">
        <v>3</v>
      </c>
    </row>
    <row r="755" spans="2:9" x14ac:dyDescent="0.25">
      <c r="B755" s="1" t="s">
        <v>761</v>
      </c>
      <c r="C755" s="3">
        <v>13</v>
      </c>
      <c r="D755" s="3" t="s">
        <v>858</v>
      </c>
      <c r="E755" s="2">
        <v>2017</v>
      </c>
      <c r="F755" s="3">
        <v>28</v>
      </c>
      <c r="G755" s="3" t="s">
        <v>857</v>
      </c>
      <c r="H755" s="19">
        <v>2016</v>
      </c>
      <c r="I755" s="2" t="s">
        <v>2</v>
      </c>
    </row>
    <row r="756" spans="2:9" x14ac:dyDescent="0.25">
      <c r="B756" s="1" t="s">
        <v>762</v>
      </c>
      <c r="C756" s="3">
        <v>13</v>
      </c>
      <c r="D756" s="3" t="s">
        <v>858</v>
      </c>
      <c r="E756" s="2">
        <v>2017</v>
      </c>
      <c r="F756" s="3">
        <v>24</v>
      </c>
      <c r="G756" s="3" t="s">
        <v>867</v>
      </c>
      <c r="H756" s="19">
        <v>2008</v>
      </c>
      <c r="I756" s="2" t="s">
        <v>2</v>
      </c>
    </row>
    <row r="757" spans="2:9" x14ac:dyDescent="0.25">
      <c r="B757" s="1" t="s">
        <v>763</v>
      </c>
      <c r="C757" s="3">
        <v>13</v>
      </c>
      <c r="D757" s="3" t="s">
        <v>858</v>
      </c>
      <c r="E757" s="2">
        <v>2017</v>
      </c>
      <c r="F757" s="3">
        <v>11</v>
      </c>
      <c r="G757" s="3" t="s">
        <v>869</v>
      </c>
      <c r="H757" s="19">
        <v>2006</v>
      </c>
      <c r="I757" s="2" t="s">
        <v>3</v>
      </c>
    </row>
    <row r="758" spans="2:9" x14ac:dyDescent="0.25">
      <c r="B758" s="1" t="s">
        <v>764</v>
      </c>
      <c r="C758" s="3">
        <v>13</v>
      </c>
      <c r="D758" s="3" t="s">
        <v>858</v>
      </c>
      <c r="E758" s="2">
        <v>2017</v>
      </c>
      <c r="F758" s="3">
        <v>21</v>
      </c>
      <c r="G758" s="3" t="s">
        <v>870</v>
      </c>
      <c r="H758" s="19">
        <v>2017</v>
      </c>
      <c r="I758" s="2" t="s">
        <v>3</v>
      </c>
    </row>
    <row r="759" spans="2:9" x14ac:dyDescent="0.25">
      <c r="B759" s="1" t="s">
        <v>765</v>
      </c>
      <c r="C759" s="3">
        <v>13</v>
      </c>
      <c r="D759" s="3" t="s">
        <v>858</v>
      </c>
      <c r="E759" s="2">
        <v>2017</v>
      </c>
      <c r="F759" s="3">
        <v>8</v>
      </c>
      <c r="G759" s="3" t="s">
        <v>858</v>
      </c>
      <c r="H759" s="19">
        <v>2017</v>
      </c>
      <c r="I759" s="2" t="s">
        <v>3</v>
      </c>
    </row>
    <row r="760" spans="2:9" x14ac:dyDescent="0.25">
      <c r="B760" s="1" t="s">
        <v>766</v>
      </c>
      <c r="C760" s="3">
        <v>13</v>
      </c>
      <c r="D760" s="3" t="s">
        <v>858</v>
      </c>
      <c r="E760" s="2">
        <v>2017</v>
      </c>
      <c r="F760" s="3">
        <v>15</v>
      </c>
      <c r="G760" s="3" t="s">
        <v>870</v>
      </c>
      <c r="H760" s="35">
        <v>2014</v>
      </c>
      <c r="I760" s="10" t="s">
        <v>3</v>
      </c>
    </row>
    <row r="761" spans="2:9" x14ac:dyDescent="0.25">
      <c r="B761" s="1" t="s">
        <v>767</v>
      </c>
      <c r="C761" s="3">
        <v>14</v>
      </c>
      <c r="D761" s="3" t="s">
        <v>870</v>
      </c>
      <c r="E761" s="2">
        <v>2017</v>
      </c>
      <c r="F761" s="3">
        <v>17</v>
      </c>
      <c r="G761" s="3" t="s">
        <v>870</v>
      </c>
      <c r="H761" s="19">
        <v>2017</v>
      </c>
      <c r="I761" s="2" t="s">
        <v>2</v>
      </c>
    </row>
    <row r="762" spans="2:9" x14ac:dyDescent="0.25">
      <c r="B762" s="1" t="s">
        <v>768</v>
      </c>
      <c r="C762" s="3">
        <v>14</v>
      </c>
      <c r="D762" s="3" t="s">
        <v>858</v>
      </c>
      <c r="E762" s="2">
        <v>2017</v>
      </c>
      <c r="F762" s="3">
        <v>17</v>
      </c>
      <c r="G762" s="3" t="s">
        <v>864</v>
      </c>
      <c r="H762" s="19">
        <v>2017</v>
      </c>
      <c r="I762" s="2" t="s">
        <v>3</v>
      </c>
    </row>
    <row r="763" spans="2:9" x14ac:dyDescent="0.25">
      <c r="B763" s="1" t="s">
        <v>769</v>
      </c>
      <c r="C763" s="3">
        <v>15</v>
      </c>
      <c r="D763" s="3" t="s">
        <v>858</v>
      </c>
      <c r="E763" s="2">
        <v>2017</v>
      </c>
      <c r="F763" s="3">
        <v>10</v>
      </c>
      <c r="G763" s="3" t="s">
        <v>865</v>
      </c>
      <c r="H763" s="19">
        <v>2017</v>
      </c>
      <c r="I763" s="2" t="s">
        <v>3</v>
      </c>
    </row>
    <row r="764" spans="2:9" x14ac:dyDescent="0.25">
      <c r="B764" s="1" t="s">
        <v>770</v>
      </c>
      <c r="C764" s="3">
        <v>16</v>
      </c>
      <c r="D764" s="3" t="s">
        <v>858</v>
      </c>
      <c r="E764" s="2">
        <v>2017</v>
      </c>
      <c r="F764" s="3">
        <v>28</v>
      </c>
      <c r="G764" s="3" t="s">
        <v>867</v>
      </c>
      <c r="H764" s="19">
        <v>2017</v>
      </c>
      <c r="I764" s="2" t="s">
        <v>3</v>
      </c>
    </row>
    <row r="765" spans="2:9" x14ac:dyDescent="0.25">
      <c r="B765" s="1" t="s">
        <v>771</v>
      </c>
      <c r="C765" s="3">
        <v>21</v>
      </c>
      <c r="D765" s="3" t="s">
        <v>858</v>
      </c>
      <c r="E765" s="2">
        <v>2017</v>
      </c>
      <c r="F765" s="3">
        <v>15</v>
      </c>
      <c r="G765" s="3" t="s">
        <v>863</v>
      </c>
      <c r="H765" s="19">
        <v>2017</v>
      </c>
      <c r="I765" s="2" t="s">
        <v>3</v>
      </c>
    </row>
    <row r="766" spans="2:9" x14ac:dyDescent="0.25">
      <c r="B766" s="1" t="s">
        <v>772</v>
      </c>
      <c r="C766" s="3">
        <v>21</v>
      </c>
      <c r="D766" s="3" t="s">
        <v>858</v>
      </c>
      <c r="E766" s="2">
        <v>2017</v>
      </c>
      <c r="F766" s="3">
        <v>9</v>
      </c>
      <c r="G766" s="3" t="s">
        <v>864</v>
      </c>
      <c r="H766" s="19">
        <v>2017</v>
      </c>
      <c r="I766" s="2" t="s">
        <v>3</v>
      </c>
    </row>
    <row r="767" spans="2:9" x14ac:dyDescent="0.25">
      <c r="B767" s="1" t="s">
        <v>773</v>
      </c>
      <c r="C767" s="3">
        <v>22</v>
      </c>
      <c r="D767" s="3" t="s">
        <v>858</v>
      </c>
      <c r="E767" s="2">
        <v>2017</v>
      </c>
      <c r="F767" s="3">
        <v>31</v>
      </c>
      <c r="G767" s="3" t="s">
        <v>870</v>
      </c>
      <c r="H767" s="19">
        <v>2017</v>
      </c>
      <c r="I767" s="2" t="s">
        <v>3</v>
      </c>
    </row>
    <row r="768" spans="2:9" x14ac:dyDescent="0.25">
      <c r="B768" s="1" t="s">
        <v>774</v>
      </c>
      <c r="C768" s="3">
        <v>22</v>
      </c>
      <c r="D768" s="3" t="s">
        <v>858</v>
      </c>
      <c r="E768" s="2">
        <v>2017</v>
      </c>
      <c r="F768" s="3">
        <v>28</v>
      </c>
      <c r="G768" s="3" t="s">
        <v>870</v>
      </c>
      <c r="H768" s="19">
        <v>2017</v>
      </c>
      <c r="I768" s="2" t="s">
        <v>3</v>
      </c>
    </row>
    <row r="769" spans="2:9" x14ac:dyDescent="0.25">
      <c r="B769" s="1" t="s">
        <v>775</v>
      </c>
      <c r="C769" s="3">
        <v>22</v>
      </c>
      <c r="D769" s="3" t="s">
        <v>858</v>
      </c>
      <c r="E769" s="2">
        <v>2017</v>
      </c>
      <c r="F769" s="3">
        <v>18</v>
      </c>
      <c r="G769" s="3" t="s">
        <v>870</v>
      </c>
      <c r="H769" s="19">
        <v>2017</v>
      </c>
      <c r="I769" s="2" t="s">
        <v>3</v>
      </c>
    </row>
    <row r="770" spans="2:9" x14ac:dyDescent="0.25">
      <c r="B770" s="1" t="s">
        <v>776</v>
      </c>
      <c r="C770" s="3">
        <v>23</v>
      </c>
      <c r="D770" s="3" t="s">
        <v>858</v>
      </c>
      <c r="E770" s="2">
        <v>2017</v>
      </c>
      <c r="F770" s="3">
        <v>8</v>
      </c>
      <c r="G770" s="3" t="s">
        <v>869</v>
      </c>
      <c r="H770" s="19">
        <v>2017</v>
      </c>
      <c r="I770" s="2" t="s">
        <v>2</v>
      </c>
    </row>
    <row r="771" spans="2:9" x14ac:dyDescent="0.25">
      <c r="B771" s="1" t="s">
        <v>777</v>
      </c>
      <c r="C771" s="3">
        <v>23</v>
      </c>
      <c r="D771" s="3" t="s">
        <v>858</v>
      </c>
      <c r="E771" s="2">
        <v>2017</v>
      </c>
      <c r="F771" s="3">
        <v>15</v>
      </c>
      <c r="G771" s="3" t="s">
        <v>858</v>
      </c>
      <c r="H771" s="19">
        <v>2017</v>
      </c>
      <c r="I771" s="2" t="s">
        <v>2</v>
      </c>
    </row>
    <row r="772" spans="2:9" x14ac:dyDescent="0.25">
      <c r="B772" s="1" t="s">
        <v>778</v>
      </c>
      <c r="C772" s="3">
        <v>24</v>
      </c>
      <c r="D772" s="3" t="s">
        <v>858</v>
      </c>
      <c r="E772" s="2">
        <v>2017</v>
      </c>
      <c r="F772" s="3">
        <v>20</v>
      </c>
      <c r="G772" s="3" t="s">
        <v>863</v>
      </c>
      <c r="H772" s="19">
        <v>2017</v>
      </c>
      <c r="I772" s="2" t="s">
        <v>3</v>
      </c>
    </row>
    <row r="773" spans="2:9" x14ac:dyDescent="0.25">
      <c r="B773" s="1" t="s">
        <v>779</v>
      </c>
      <c r="C773" s="3">
        <v>24</v>
      </c>
      <c r="D773" s="3" t="s">
        <v>858</v>
      </c>
      <c r="E773" s="2">
        <v>2017</v>
      </c>
      <c r="F773" s="3">
        <v>1</v>
      </c>
      <c r="G773" s="3" t="s">
        <v>858</v>
      </c>
      <c r="H773" s="19">
        <v>2017</v>
      </c>
      <c r="I773" s="2" t="s">
        <v>3</v>
      </c>
    </row>
    <row r="774" spans="2:9" x14ac:dyDescent="0.25">
      <c r="B774" s="1" t="s">
        <v>780</v>
      </c>
      <c r="C774" s="3">
        <v>27</v>
      </c>
      <c r="D774" s="3" t="s">
        <v>858</v>
      </c>
      <c r="E774" s="2">
        <v>2017</v>
      </c>
      <c r="F774" s="3">
        <v>17</v>
      </c>
      <c r="G774" s="3" t="s">
        <v>857</v>
      </c>
      <c r="H774" s="19">
        <v>1956</v>
      </c>
      <c r="I774" s="2" t="s">
        <v>3</v>
      </c>
    </row>
    <row r="775" spans="2:9" x14ac:dyDescent="0.25">
      <c r="B775" s="1" t="s">
        <v>781</v>
      </c>
      <c r="C775" s="3">
        <v>27</v>
      </c>
      <c r="D775" s="3" t="s">
        <v>858</v>
      </c>
      <c r="E775" s="2">
        <v>2017</v>
      </c>
      <c r="F775" s="3">
        <v>16</v>
      </c>
      <c r="G775" s="3" t="s">
        <v>858</v>
      </c>
      <c r="H775" s="19">
        <v>2017</v>
      </c>
      <c r="I775" s="2" t="s">
        <v>3</v>
      </c>
    </row>
    <row r="776" spans="2:9" x14ac:dyDescent="0.25">
      <c r="B776" s="1" t="s">
        <v>782</v>
      </c>
      <c r="C776" s="3">
        <v>27</v>
      </c>
      <c r="D776" s="3" t="s">
        <v>858</v>
      </c>
      <c r="E776" s="2">
        <v>2017</v>
      </c>
      <c r="F776" s="3">
        <v>1</v>
      </c>
      <c r="G776" s="3" t="s">
        <v>858</v>
      </c>
      <c r="H776" s="19">
        <v>2017</v>
      </c>
      <c r="I776" s="2" t="s">
        <v>2</v>
      </c>
    </row>
    <row r="777" spans="2:9" x14ac:dyDescent="0.25">
      <c r="B777" s="1" t="s">
        <v>783</v>
      </c>
      <c r="C777" s="3">
        <v>27</v>
      </c>
      <c r="D777" s="3" t="s">
        <v>858</v>
      </c>
      <c r="E777" s="2">
        <v>2017</v>
      </c>
      <c r="F777" s="3">
        <v>17</v>
      </c>
      <c r="G777" s="3" t="s">
        <v>864</v>
      </c>
      <c r="H777" s="19">
        <v>2017</v>
      </c>
      <c r="I777" s="2" t="s">
        <v>2</v>
      </c>
    </row>
    <row r="778" spans="2:9" x14ac:dyDescent="0.25">
      <c r="B778" s="1" t="s">
        <v>784</v>
      </c>
      <c r="C778" s="3">
        <v>27</v>
      </c>
      <c r="D778" s="3" t="s">
        <v>858</v>
      </c>
      <c r="E778" s="2">
        <v>2017</v>
      </c>
      <c r="F778" s="3">
        <v>27</v>
      </c>
      <c r="G778" s="3" t="s">
        <v>870</v>
      </c>
      <c r="H778" s="19">
        <v>2017</v>
      </c>
      <c r="I778" s="2" t="s">
        <v>2</v>
      </c>
    </row>
    <row r="779" spans="2:9" x14ac:dyDescent="0.25">
      <c r="B779" s="1" t="s">
        <v>785</v>
      </c>
      <c r="C779" s="3">
        <v>29</v>
      </c>
      <c r="D779" s="3" t="s">
        <v>858</v>
      </c>
      <c r="E779" s="2">
        <v>2017</v>
      </c>
      <c r="F779" s="3">
        <v>26</v>
      </c>
      <c r="G779" s="3" t="s">
        <v>856</v>
      </c>
      <c r="H779" s="19">
        <v>2017</v>
      </c>
      <c r="I779" s="2" t="s">
        <v>2</v>
      </c>
    </row>
    <row r="780" spans="2:9" x14ac:dyDescent="0.25">
      <c r="B780" s="1" t="s">
        <v>786</v>
      </c>
      <c r="C780" s="3">
        <v>29</v>
      </c>
      <c r="D780" s="3" t="s">
        <v>858</v>
      </c>
      <c r="E780" s="2">
        <v>2017</v>
      </c>
      <c r="F780" s="3">
        <v>14</v>
      </c>
      <c r="G780" s="3" t="s">
        <v>863</v>
      </c>
      <c r="H780" s="19">
        <v>2017</v>
      </c>
      <c r="I780" s="2" t="s">
        <v>3</v>
      </c>
    </row>
    <row r="781" spans="2:9" x14ac:dyDescent="0.25">
      <c r="B781" s="1" t="s">
        <v>787</v>
      </c>
      <c r="C781" s="3">
        <v>30</v>
      </c>
      <c r="D781" s="3" t="s">
        <v>858</v>
      </c>
      <c r="E781" s="2">
        <v>2017</v>
      </c>
      <c r="F781" s="3">
        <v>15</v>
      </c>
      <c r="G781" s="3" t="s">
        <v>861</v>
      </c>
      <c r="H781" s="19">
        <v>1968</v>
      </c>
      <c r="I781" s="2" t="s">
        <v>2</v>
      </c>
    </row>
    <row r="782" spans="2:9" x14ac:dyDescent="0.25">
      <c r="B782" s="1" t="s">
        <v>788</v>
      </c>
      <c r="C782" s="3">
        <v>30</v>
      </c>
      <c r="D782" s="3" t="s">
        <v>858</v>
      </c>
      <c r="E782" s="2">
        <v>2017</v>
      </c>
      <c r="F782" s="3">
        <v>7</v>
      </c>
      <c r="G782" s="3" t="s">
        <v>858</v>
      </c>
      <c r="H782" s="19">
        <v>2017</v>
      </c>
      <c r="I782" s="2" t="s">
        <v>3</v>
      </c>
    </row>
    <row r="783" spans="2:9" x14ac:dyDescent="0.25">
      <c r="B783" s="1" t="s">
        <v>789</v>
      </c>
      <c r="C783" s="3">
        <v>30</v>
      </c>
      <c r="D783" s="3" t="s">
        <v>858</v>
      </c>
      <c r="E783" s="2">
        <v>2017</v>
      </c>
      <c r="F783" s="3">
        <v>19</v>
      </c>
      <c r="G783" s="3" t="s">
        <v>863</v>
      </c>
      <c r="H783" s="19">
        <v>2017</v>
      </c>
      <c r="I783" s="2" t="s">
        <v>3</v>
      </c>
    </row>
    <row r="784" spans="2:9" x14ac:dyDescent="0.25">
      <c r="B784" s="1" t="s">
        <v>790</v>
      </c>
      <c r="C784" s="3">
        <v>30</v>
      </c>
      <c r="D784" s="3" t="s">
        <v>858</v>
      </c>
      <c r="E784" s="2">
        <v>2017</v>
      </c>
      <c r="F784" s="2">
        <v>19</v>
      </c>
      <c r="G784" s="3" t="s">
        <v>858</v>
      </c>
      <c r="H784" s="19">
        <v>2017</v>
      </c>
      <c r="I784" s="2" t="s">
        <v>2</v>
      </c>
    </row>
    <row r="785" spans="2:9" x14ac:dyDescent="0.25">
      <c r="B785" s="1" t="s">
        <v>791</v>
      </c>
      <c r="C785" s="3">
        <v>30</v>
      </c>
      <c r="D785" s="3" t="s">
        <v>858</v>
      </c>
      <c r="E785" s="2">
        <v>2017</v>
      </c>
      <c r="F785" s="3">
        <v>2</v>
      </c>
      <c r="G785" s="3" t="s">
        <v>870</v>
      </c>
      <c r="H785" s="19">
        <v>2017</v>
      </c>
      <c r="I785" s="2" t="s">
        <v>2</v>
      </c>
    </row>
    <row r="786" spans="2:9" x14ac:dyDescent="0.25">
      <c r="B786" s="1" t="s">
        <v>792</v>
      </c>
      <c r="C786" s="3">
        <v>30</v>
      </c>
      <c r="D786" s="3" t="s">
        <v>858</v>
      </c>
      <c r="E786" s="2">
        <v>2017</v>
      </c>
      <c r="F786" s="3">
        <v>22</v>
      </c>
      <c r="G786" s="3" t="s">
        <v>858</v>
      </c>
      <c r="H786" s="19">
        <v>2017</v>
      </c>
      <c r="I786" s="2" t="s">
        <v>2</v>
      </c>
    </row>
    <row r="787" spans="2:9" x14ac:dyDescent="0.25">
      <c r="B787" s="1" t="s">
        <v>793</v>
      </c>
      <c r="C787" s="3">
        <v>30</v>
      </c>
      <c r="D787" s="3" t="s">
        <v>858</v>
      </c>
      <c r="E787" s="2">
        <v>2017</v>
      </c>
      <c r="F787" s="3">
        <v>24</v>
      </c>
      <c r="G787" s="3" t="s">
        <v>870</v>
      </c>
      <c r="H787" s="19">
        <v>2017</v>
      </c>
      <c r="I787" s="2" t="s">
        <v>2</v>
      </c>
    </row>
    <row r="788" spans="2:9" x14ac:dyDescent="0.25">
      <c r="B788" s="1" t="s">
        <v>794</v>
      </c>
      <c r="C788" s="3">
        <v>1</v>
      </c>
      <c r="D788" s="3" t="s">
        <v>857</v>
      </c>
      <c r="E788" s="2">
        <v>2017</v>
      </c>
      <c r="F788" s="3">
        <v>9</v>
      </c>
      <c r="G788" s="3" t="s">
        <v>866</v>
      </c>
      <c r="H788" s="20">
        <v>2017</v>
      </c>
      <c r="I788" s="7" t="s">
        <v>2</v>
      </c>
    </row>
    <row r="789" spans="2:9" x14ac:dyDescent="0.25">
      <c r="B789" s="1" t="s">
        <v>795</v>
      </c>
      <c r="C789" s="3">
        <v>2</v>
      </c>
      <c r="D789" s="3" t="s">
        <v>857</v>
      </c>
      <c r="E789" s="2">
        <v>2017</v>
      </c>
      <c r="F789" s="3">
        <v>12</v>
      </c>
      <c r="G789" s="3" t="s">
        <v>864</v>
      </c>
      <c r="H789" s="19">
        <v>2016</v>
      </c>
      <c r="I789" s="2" t="s">
        <v>2</v>
      </c>
    </row>
    <row r="790" spans="2:9" x14ac:dyDescent="0.25">
      <c r="B790" s="1" t="s">
        <v>796</v>
      </c>
      <c r="C790" s="3">
        <v>2</v>
      </c>
      <c r="D790" s="3" t="s">
        <v>857</v>
      </c>
      <c r="E790" s="2">
        <v>2017</v>
      </c>
      <c r="F790" s="3">
        <v>27</v>
      </c>
      <c r="G790" s="3" t="s">
        <v>858</v>
      </c>
      <c r="H790" s="19">
        <v>2017</v>
      </c>
      <c r="I790" s="2" t="s">
        <v>2</v>
      </c>
    </row>
    <row r="791" spans="2:9" x14ac:dyDescent="0.25">
      <c r="B791" s="1" t="s">
        <v>797</v>
      </c>
      <c r="C791" s="3">
        <v>2</v>
      </c>
      <c r="D791" s="3" t="s">
        <v>857</v>
      </c>
      <c r="E791" s="2">
        <v>2017</v>
      </c>
      <c r="F791" s="3">
        <v>18</v>
      </c>
      <c r="G791" s="3" t="s">
        <v>856</v>
      </c>
      <c r="H791" s="19">
        <v>2016</v>
      </c>
      <c r="I791" s="2" t="s">
        <v>2</v>
      </c>
    </row>
    <row r="792" spans="2:9" x14ac:dyDescent="0.25">
      <c r="B792" s="1" t="s">
        <v>798</v>
      </c>
      <c r="C792" s="3">
        <v>4</v>
      </c>
      <c r="D792" s="3" t="s">
        <v>857</v>
      </c>
      <c r="E792" s="2">
        <v>2017</v>
      </c>
      <c r="F792" s="3">
        <v>13</v>
      </c>
      <c r="G792" s="3" t="s">
        <v>858</v>
      </c>
      <c r="H792" s="19">
        <v>2017</v>
      </c>
      <c r="I792" s="2" t="s">
        <v>3</v>
      </c>
    </row>
    <row r="793" spans="2:9" x14ac:dyDescent="0.25">
      <c r="B793" s="1" t="s">
        <v>799</v>
      </c>
      <c r="C793" s="3">
        <v>4</v>
      </c>
      <c r="D793" s="3" t="s">
        <v>857</v>
      </c>
      <c r="E793" s="2">
        <v>2017</v>
      </c>
      <c r="F793" s="3">
        <v>11</v>
      </c>
      <c r="G793" s="3" t="s">
        <v>858</v>
      </c>
      <c r="H793" s="19">
        <v>2017</v>
      </c>
      <c r="I793" s="2" t="s">
        <v>3</v>
      </c>
    </row>
    <row r="794" spans="2:9" x14ac:dyDescent="0.25">
      <c r="B794" s="1" t="s">
        <v>800</v>
      </c>
      <c r="C794" s="3">
        <v>4</v>
      </c>
      <c r="D794" s="3" t="s">
        <v>857</v>
      </c>
      <c r="E794" s="2">
        <v>2017</v>
      </c>
      <c r="F794" s="3">
        <v>26</v>
      </c>
      <c r="G794" s="3" t="s">
        <v>869</v>
      </c>
      <c r="H794" s="19">
        <v>2017</v>
      </c>
      <c r="I794" s="2" t="s">
        <v>2</v>
      </c>
    </row>
    <row r="795" spans="2:9" x14ac:dyDescent="0.25">
      <c r="B795" s="1" t="s">
        <v>801</v>
      </c>
      <c r="C795" s="3">
        <v>4</v>
      </c>
      <c r="D795" s="3" t="s">
        <v>857</v>
      </c>
      <c r="E795" s="2">
        <v>2017</v>
      </c>
      <c r="F795" s="3">
        <v>6</v>
      </c>
      <c r="G795" s="3" t="s">
        <v>858</v>
      </c>
      <c r="H795" s="19">
        <v>2007</v>
      </c>
      <c r="I795" s="2" t="s">
        <v>3</v>
      </c>
    </row>
    <row r="796" spans="2:9" x14ac:dyDescent="0.25">
      <c r="B796" s="1" t="s">
        <v>802</v>
      </c>
      <c r="C796" s="3">
        <v>4</v>
      </c>
      <c r="D796" s="3" t="s">
        <v>857</v>
      </c>
      <c r="E796" s="2">
        <v>2017</v>
      </c>
      <c r="F796" s="3">
        <v>1</v>
      </c>
      <c r="G796" s="3" t="s">
        <v>856</v>
      </c>
      <c r="H796" s="19">
        <v>2004</v>
      </c>
      <c r="I796" s="2" t="s">
        <v>2</v>
      </c>
    </row>
    <row r="797" spans="2:9" x14ac:dyDescent="0.25">
      <c r="B797" s="1" t="s">
        <v>803</v>
      </c>
      <c r="C797" s="3">
        <v>4</v>
      </c>
      <c r="D797" s="3" t="s">
        <v>857</v>
      </c>
      <c r="E797" s="2">
        <v>2017</v>
      </c>
      <c r="F797" s="3">
        <v>26</v>
      </c>
      <c r="G797" s="3" t="s">
        <v>870</v>
      </c>
      <c r="H797" s="19">
        <v>2017</v>
      </c>
      <c r="I797" s="2" t="s">
        <v>3</v>
      </c>
    </row>
    <row r="798" spans="2:9" x14ac:dyDescent="0.25">
      <c r="B798" s="1" t="s">
        <v>804</v>
      </c>
      <c r="C798" s="3">
        <v>4</v>
      </c>
      <c r="D798" s="3" t="s">
        <v>857</v>
      </c>
      <c r="E798" s="2">
        <v>2017</v>
      </c>
      <c r="F798" s="3">
        <v>29</v>
      </c>
      <c r="G798" s="3" t="s">
        <v>858</v>
      </c>
      <c r="H798" s="19">
        <v>2017</v>
      </c>
      <c r="I798" s="2" t="s">
        <v>3</v>
      </c>
    </row>
    <row r="799" spans="2:9" x14ac:dyDescent="0.25">
      <c r="B799" s="1" t="s">
        <v>805</v>
      </c>
      <c r="C799" s="3">
        <v>4</v>
      </c>
      <c r="D799" s="3" t="s">
        <v>857</v>
      </c>
      <c r="E799" s="2">
        <v>2017</v>
      </c>
      <c r="F799" s="3">
        <v>30</v>
      </c>
      <c r="G799" s="3" t="s">
        <v>858</v>
      </c>
      <c r="H799" s="19">
        <v>2017</v>
      </c>
      <c r="I799" s="2" t="s">
        <v>3</v>
      </c>
    </row>
    <row r="800" spans="2:9" x14ac:dyDescent="0.25">
      <c r="B800" s="1" t="s">
        <v>806</v>
      </c>
      <c r="C800" s="3">
        <v>5</v>
      </c>
      <c r="D800" s="3" t="s">
        <v>857</v>
      </c>
      <c r="E800" s="2">
        <v>2017</v>
      </c>
      <c r="F800" s="3">
        <v>28</v>
      </c>
      <c r="G800" s="3" t="s">
        <v>870</v>
      </c>
      <c r="H800" s="19">
        <v>2017</v>
      </c>
      <c r="I800" s="2" t="s">
        <v>2</v>
      </c>
    </row>
    <row r="801" spans="2:9" x14ac:dyDescent="0.25">
      <c r="B801" s="1" t="s">
        <v>807</v>
      </c>
      <c r="C801" s="3">
        <v>5</v>
      </c>
      <c r="D801" s="3" t="s">
        <v>857</v>
      </c>
      <c r="E801" s="2">
        <v>2017</v>
      </c>
      <c r="F801" s="3">
        <v>3</v>
      </c>
      <c r="G801" s="3" t="s">
        <v>858</v>
      </c>
      <c r="H801" s="19">
        <v>2017</v>
      </c>
      <c r="I801" s="2" t="s">
        <v>2</v>
      </c>
    </row>
    <row r="802" spans="2:9" x14ac:dyDescent="0.25">
      <c r="B802" s="1" t="s">
        <v>808</v>
      </c>
      <c r="C802" s="3">
        <v>5</v>
      </c>
      <c r="D802" s="3" t="s">
        <v>857</v>
      </c>
      <c r="E802" s="2">
        <v>2017</v>
      </c>
      <c r="F802" s="3">
        <v>11</v>
      </c>
      <c r="G802" s="3" t="s">
        <v>869</v>
      </c>
      <c r="H802" s="19">
        <v>2006</v>
      </c>
      <c r="I802" s="2" t="s">
        <v>3</v>
      </c>
    </row>
    <row r="803" spans="2:9" x14ac:dyDescent="0.25">
      <c r="B803" s="1" t="s">
        <v>809</v>
      </c>
      <c r="C803" s="3">
        <v>5</v>
      </c>
      <c r="D803" s="3" t="s">
        <v>857</v>
      </c>
      <c r="E803" s="2">
        <v>2017</v>
      </c>
      <c r="F803" s="3">
        <v>15</v>
      </c>
      <c r="G803" s="3" t="s">
        <v>869</v>
      </c>
      <c r="H803" s="19">
        <v>2017</v>
      </c>
      <c r="I803" s="2" t="s">
        <v>2</v>
      </c>
    </row>
    <row r="804" spans="2:9" x14ac:dyDescent="0.25">
      <c r="B804" s="1" t="s">
        <v>810</v>
      </c>
      <c r="C804" s="3">
        <v>5</v>
      </c>
      <c r="D804" s="3" t="s">
        <v>857</v>
      </c>
      <c r="E804" s="2">
        <v>2017</v>
      </c>
      <c r="F804" s="3">
        <v>5</v>
      </c>
      <c r="G804" s="3" t="s">
        <v>861</v>
      </c>
      <c r="H804" s="19">
        <v>1949</v>
      </c>
      <c r="I804" s="2" t="s">
        <v>3</v>
      </c>
    </row>
    <row r="805" spans="2:9" x14ac:dyDescent="0.25">
      <c r="B805" s="1" t="s">
        <v>811</v>
      </c>
      <c r="C805" s="3">
        <v>6</v>
      </c>
      <c r="D805" s="3" t="s">
        <v>857</v>
      </c>
      <c r="E805" s="2">
        <v>2017</v>
      </c>
      <c r="F805" s="3">
        <v>1</v>
      </c>
      <c r="G805" s="3" t="s">
        <v>858</v>
      </c>
      <c r="H805" s="19">
        <v>2017</v>
      </c>
      <c r="I805" s="2" t="s">
        <v>2</v>
      </c>
    </row>
    <row r="806" spans="2:9" x14ac:dyDescent="0.25">
      <c r="B806" s="1" t="s">
        <v>812</v>
      </c>
      <c r="C806" s="3">
        <v>6</v>
      </c>
      <c r="D806" s="3" t="s">
        <v>857</v>
      </c>
      <c r="E806" s="2">
        <v>2017</v>
      </c>
      <c r="F806" s="3">
        <v>28</v>
      </c>
      <c r="G806" s="3" t="s">
        <v>857</v>
      </c>
      <c r="H806" s="19">
        <v>2016</v>
      </c>
      <c r="I806" s="2" t="s">
        <v>3</v>
      </c>
    </row>
    <row r="807" spans="2:9" x14ac:dyDescent="0.25">
      <c r="B807" s="1" t="s">
        <v>813</v>
      </c>
      <c r="C807" s="3">
        <v>6</v>
      </c>
      <c r="D807" s="3" t="s">
        <v>857</v>
      </c>
      <c r="E807" s="2">
        <v>2017</v>
      </c>
      <c r="F807" s="3">
        <v>3</v>
      </c>
      <c r="G807" s="3" t="s">
        <v>870</v>
      </c>
      <c r="H807" s="19">
        <v>2017</v>
      </c>
      <c r="I807" s="2" t="s">
        <v>3</v>
      </c>
    </row>
    <row r="808" spans="2:9" x14ac:dyDescent="0.25">
      <c r="B808" s="1" t="s">
        <v>814</v>
      </c>
      <c r="C808" s="3">
        <v>6</v>
      </c>
      <c r="D808" s="3" t="s">
        <v>857</v>
      </c>
      <c r="E808" s="2">
        <v>2017</v>
      </c>
      <c r="F808" s="3">
        <v>24</v>
      </c>
      <c r="G808" s="3" t="s">
        <v>858</v>
      </c>
      <c r="H808" s="19">
        <v>2017</v>
      </c>
      <c r="I808" s="2" t="s">
        <v>3</v>
      </c>
    </row>
    <row r="809" spans="2:9" x14ac:dyDescent="0.25">
      <c r="B809" s="1" t="s">
        <v>815</v>
      </c>
      <c r="C809" s="3">
        <v>6</v>
      </c>
      <c r="D809" s="3" t="s">
        <v>857</v>
      </c>
      <c r="E809" s="2">
        <v>2017</v>
      </c>
      <c r="F809" s="3">
        <v>19</v>
      </c>
      <c r="G809" s="3" t="s">
        <v>870</v>
      </c>
      <c r="H809" s="19">
        <v>2017</v>
      </c>
      <c r="I809" s="2" t="s">
        <v>2</v>
      </c>
    </row>
    <row r="810" spans="2:9" x14ac:dyDescent="0.25">
      <c r="B810" s="1" t="s">
        <v>816</v>
      </c>
      <c r="C810" s="3">
        <v>6</v>
      </c>
      <c r="D810" s="3" t="s">
        <v>857</v>
      </c>
      <c r="E810" s="2">
        <v>2017</v>
      </c>
      <c r="F810" s="3">
        <v>19</v>
      </c>
      <c r="G810" s="3" t="s">
        <v>870</v>
      </c>
      <c r="H810" s="19">
        <v>2017</v>
      </c>
      <c r="I810" s="2" t="s">
        <v>2</v>
      </c>
    </row>
    <row r="811" spans="2:9" x14ac:dyDescent="0.25">
      <c r="B811" s="1" t="s">
        <v>817</v>
      </c>
      <c r="C811" s="3">
        <v>7</v>
      </c>
      <c r="D811" s="3" t="s">
        <v>857</v>
      </c>
      <c r="E811" s="2">
        <v>2017</v>
      </c>
      <c r="F811" s="3">
        <v>9</v>
      </c>
      <c r="G811" s="3" t="s">
        <v>869</v>
      </c>
      <c r="H811" s="19">
        <v>2017</v>
      </c>
      <c r="I811" s="2" t="s">
        <v>3</v>
      </c>
    </row>
    <row r="812" spans="2:9" x14ac:dyDescent="0.25">
      <c r="B812" s="1" t="s">
        <v>818</v>
      </c>
      <c r="C812" s="3">
        <v>7</v>
      </c>
      <c r="D812" s="3" t="s">
        <v>857</v>
      </c>
      <c r="E812" s="2">
        <v>2017</v>
      </c>
      <c r="F812" s="3">
        <v>7</v>
      </c>
      <c r="G812" s="3" t="s">
        <v>870</v>
      </c>
      <c r="H812" s="19">
        <v>2017</v>
      </c>
      <c r="I812" s="2" t="s">
        <v>2</v>
      </c>
    </row>
    <row r="813" spans="2:9" x14ac:dyDescent="0.25">
      <c r="B813" s="1" t="s">
        <v>819</v>
      </c>
      <c r="C813" s="3">
        <v>8</v>
      </c>
      <c r="D813" s="3" t="s">
        <v>857</v>
      </c>
      <c r="E813" s="2">
        <v>2017</v>
      </c>
      <c r="F813" s="3">
        <v>2</v>
      </c>
      <c r="G813" s="3" t="s">
        <v>858</v>
      </c>
      <c r="H813" s="19">
        <v>2017</v>
      </c>
      <c r="I813" s="2" t="s">
        <v>2</v>
      </c>
    </row>
    <row r="814" spans="2:9" x14ac:dyDescent="0.25">
      <c r="B814" s="1" t="s">
        <v>820</v>
      </c>
      <c r="C814" s="3">
        <v>11</v>
      </c>
      <c r="D814" s="3" t="s">
        <v>857</v>
      </c>
      <c r="E814" s="2">
        <v>2017</v>
      </c>
      <c r="F814" s="3">
        <v>29</v>
      </c>
      <c r="G814" s="3" t="s">
        <v>866</v>
      </c>
      <c r="H814" s="19">
        <v>2000</v>
      </c>
      <c r="I814" s="2" t="s">
        <v>2</v>
      </c>
    </row>
    <row r="815" spans="2:9" x14ac:dyDescent="0.25">
      <c r="B815" s="1" t="s">
        <v>821</v>
      </c>
      <c r="C815" s="3">
        <v>11</v>
      </c>
      <c r="D815" s="3" t="s">
        <v>857</v>
      </c>
      <c r="E815" s="2">
        <v>2017</v>
      </c>
      <c r="F815" s="3">
        <v>8</v>
      </c>
      <c r="G815" s="3" t="s">
        <v>858</v>
      </c>
      <c r="H815" s="19">
        <v>2017</v>
      </c>
      <c r="I815" s="2" t="s">
        <v>3</v>
      </c>
    </row>
    <row r="816" spans="2:9" x14ac:dyDescent="0.25">
      <c r="B816" s="1" t="s">
        <v>822</v>
      </c>
      <c r="C816" s="3">
        <v>12</v>
      </c>
      <c r="D816" s="3" t="s">
        <v>857</v>
      </c>
      <c r="E816" s="2">
        <v>2017</v>
      </c>
      <c r="F816" s="3">
        <v>19</v>
      </c>
      <c r="G816" s="3" t="s">
        <v>870</v>
      </c>
      <c r="H816" s="19">
        <v>2017</v>
      </c>
      <c r="I816" s="2" t="s">
        <v>3</v>
      </c>
    </row>
    <row r="817" spans="2:9" x14ac:dyDescent="0.25">
      <c r="B817" s="1" t="s">
        <v>823</v>
      </c>
      <c r="C817" s="3">
        <v>12</v>
      </c>
      <c r="D817" s="3" t="s">
        <v>857</v>
      </c>
      <c r="E817" s="2">
        <v>2017</v>
      </c>
      <c r="F817" s="3">
        <v>8</v>
      </c>
      <c r="G817" s="3" t="s">
        <v>857</v>
      </c>
      <c r="H817" s="19">
        <v>2017</v>
      </c>
      <c r="I817" s="2" t="s">
        <v>3</v>
      </c>
    </row>
    <row r="818" spans="2:9" x14ac:dyDescent="0.25">
      <c r="B818" s="1" t="s">
        <v>824</v>
      </c>
      <c r="C818" s="3">
        <v>12</v>
      </c>
      <c r="D818" s="3" t="s">
        <v>857</v>
      </c>
      <c r="E818" s="2">
        <v>2017</v>
      </c>
      <c r="F818" s="3">
        <v>13</v>
      </c>
      <c r="G818" s="3" t="s">
        <v>864</v>
      </c>
      <c r="H818" s="19">
        <v>2004</v>
      </c>
      <c r="I818" s="2" t="s">
        <v>2</v>
      </c>
    </row>
    <row r="819" spans="2:9" x14ac:dyDescent="0.25">
      <c r="B819" s="1" t="s">
        <v>825</v>
      </c>
      <c r="C819" s="3">
        <v>12</v>
      </c>
      <c r="D819" s="3" t="s">
        <v>857</v>
      </c>
      <c r="E819" s="2">
        <v>2017</v>
      </c>
      <c r="F819" s="3">
        <v>7</v>
      </c>
      <c r="G819" s="3" t="s">
        <v>857</v>
      </c>
      <c r="H819" s="19">
        <v>2017</v>
      </c>
      <c r="I819" s="2" t="s">
        <v>3</v>
      </c>
    </row>
    <row r="820" spans="2:9" x14ac:dyDescent="0.25">
      <c r="B820" s="1" t="s">
        <v>826</v>
      </c>
      <c r="C820" s="3">
        <v>12</v>
      </c>
      <c r="D820" s="3" t="s">
        <v>857</v>
      </c>
      <c r="E820" s="2">
        <v>2017</v>
      </c>
      <c r="F820" s="3">
        <v>16</v>
      </c>
      <c r="G820" s="3" t="s">
        <v>870</v>
      </c>
      <c r="H820" s="19">
        <v>2017</v>
      </c>
      <c r="I820" s="2" t="s">
        <v>2</v>
      </c>
    </row>
    <row r="821" spans="2:9" x14ac:dyDescent="0.25">
      <c r="B821" s="1" t="s">
        <v>827</v>
      </c>
      <c r="C821" s="3">
        <v>13</v>
      </c>
      <c r="D821" s="3" t="s">
        <v>857</v>
      </c>
      <c r="E821" s="2">
        <v>2017</v>
      </c>
      <c r="F821" s="3">
        <v>25</v>
      </c>
      <c r="G821" s="3" t="s">
        <v>864</v>
      </c>
      <c r="H821" s="19">
        <v>2015</v>
      </c>
      <c r="I821" s="2" t="s">
        <v>3</v>
      </c>
    </row>
    <row r="822" spans="2:9" x14ac:dyDescent="0.25">
      <c r="B822" s="1" t="s">
        <v>828</v>
      </c>
      <c r="C822" s="3">
        <v>13</v>
      </c>
      <c r="D822" s="3" t="s">
        <v>857</v>
      </c>
      <c r="E822" s="2">
        <v>2017</v>
      </c>
      <c r="F822" s="3">
        <v>11</v>
      </c>
      <c r="G822" s="3" t="s">
        <v>858</v>
      </c>
      <c r="H822" s="19">
        <v>2017</v>
      </c>
      <c r="I822" s="2" t="s">
        <v>3</v>
      </c>
    </row>
    <row r="823" spans="2:9" x14ac:dyDescent="0.25">
      <c r="B823" s="1" t="s">
        <v>829</v>
      </c>
      <c r="C823" s="3">
        <v>13</v>
      </c>
      <c r="D823" s="3" t="s">
        <v>857</v>
      </c>
      <c r="E823" s="2">
        <v>2017</v>
      </c>
      <c r="F823" s="3">
        <v>19</v>
      </c>
      <c r="G823" s="3" t="s">
        <v>858</v>
      </c>
      <c r="H823" s="19">
        <v>2017</v>
      </c>
      <c r="I823" s="2" t="s">
        <v>2</v>
      </c>
    </row>
    <row r="824" spans="2:9" x14ac:dyDescent="0.25">
      <c r="B824" s="1" t="s">
        <v>830</v>
      </c>
      <c r="C824" s="3">
        <v>13</v>
      </c>
      <c r="D824" s="3" t="s">
        <v>857</v>
      </c>
      <c r="E824" s="2">
        <v>2017</v>
      </c>
      <c r="F824" s="3">
        <v>2</v>
      </c>
      <c r="G824" s="3" t="s">
        <v>858</v>
      </c>
      <c r="H824" s="19">
        <v>2017</v>
      </c>
      <c r="I824" s="2" t="s">
        <v>2</v>
      </c>
    </row>
    <row r="825" spans="2:9" x14ac:dyDescent="0.25">
      <c r="B825" s="1" t="s">
        <v>831</v>
      </c>
      <c r="C825" s="3">
        <v>14</v>
      </c>
      <c r="D825" s="3" t="s">
        <v>857</v>
      </c>
      <c r="E825" s="2">
        <v>2017</v>
      </c>
      <c r="F825" s="3">
        <v>13</v>
      </c>
      <c r="G825" s="3" t="s">
        <v>869</v>
      </c>
      <c r="H825" s="19">
        <v>2017</v>
      </c>
      <c r="I825" s="2" t="s">
        <v>3</v>
      </c>
    </row>
    <row r="826" spans="2:9" x14ac:dyDescent="0.25">
      <c r="B826" s="1" t="s">
        <v>832</v>
      </c>
      <c r="C826" s="3">
        <v>15</v>
      </c>
      <c r="D826" s="3" t="s">
        <v>857</v>
      </c>
      <c r="E826" s="2">
        <v>2017</v>
      </c>
      <c r="F826" s="3">
        <v>21</v>
      </c>
      <c r="G826" s="3" t="s">
        <v>869</v>
      </c>
      <c r="H826" s="19">
        <v>1988</v>
      </c>
      <c r="I826" s="2" t="s">
        <v>3</v>
      </c>
    </row>
    <row r="827" spans="2:9" x14ac:dyDescent="0.25">
      <c r="B827" s="1" t="s">
        <v>833</v>
      </c>
      <c r="C827" s="3">
        <v>15</v>
      </c>
      <c r="D827" s="3" t="s">
        <v>857</v>
      </c>
      <c r="E827" s="2">
        <v>2017</v>
      </c>
      <c r="F827" s="3">
        <v>15</v>
      </c>
      <c r="G827" s="3" t="s">
        <v>866</v>
      </c>
      <c r="H827" s="19">
        <v>2017</v>
      </c>
      <c r="I827" s="2" t="s">
        <v>3</v>
      </c>
    </row>
    <row r="828" spans="2:9" x14ac:dyDescent="0.25">
      <c r="B828" s="1" t="s">
        <v>834</v>
      </c>
      <c r="C828" s="3">
        <v>18</v>
      </c>
      <c r="D828" s="3" t="s">
        <v>857</v>
      </c>
      <c r="E828" s="2">
        <v>2017</v>
      </c>
      <c r="F828" s="3">
        <v>28</v>
      </c>
      <c r="G828" s="3" t="s">
        <v>870</v>
      </c>
      <c r="H828" s="19">
        <v>2017</v>
      </c>
      <c r="I828" s="2" t="s">
        <v>2</v>
      </c>
    </row>
    <row r="829" spans="2:9" x14ac:dyDescent="0.25">
      <c r="B829" s="1" t="s">
        <v>835</v>
      </c>
      <c r="C829" s="3">
        <v>18</v>
      </c>
      <c r="D829" s="3" t="s">
        <v>857</v>
      </c>
      <c r="E829" s="2">
        <v>2017</v>
      </c>
      <c r="F829" s="3">
        <v>10</v>
      </c>
      <c r="G829" s="3" t="s">
        <v>857</v>
      </c>
      <c r="H829" s="19">
        <v>2017</v>
      </c>
      <c r="I829" s="2" t="s">
        <v>3</v>
      </c>
    </row>
    <row r="830" spans="2:9" x14ac:dyDescent="0.25">
      <c r="B830" s="1" t="s">
        <v>836</v>
      </c>
      <c r="C830" s="3">
        <v>19</v>
      </c>
      <c r="D830" s="3" t="s">
        <v>857</v>
      </c>
      <c r="E830" s="2">
        <v>2017</v>
      </c>
      <c r="F830" s="3">
        <v>20</v>
      </c>
      <c r="G830" s="3" t="s">
        <v>864</v>
      </c>
      <c r="H830" s="19">
        <v>2014</v>
      </c>
      <c r="I830" s="2" t="s">
        <v>2</v>
      </c>
    </row>
    <row r="831" spans="2:9" x14ac:dyDescent="0.25">
      <c r="B831" s="1" t="s">
        <v>837</v>
      </c>
      <c r="C831" s="3">
        <v>19</v>
      </c>
      <c r="D831" s="3" t="s">
        <v>857</v>
      </c>
      <c r="E831" s="2">
        <v>2017</v>
      </c>
      <c r="F831" s="3">
        <v>17</v>
      </c>
      <c r="G831" s="3" t="s">
        <v>858</v>
      </c>
      <c r="H831" s="19">
        <v>2017</v>
      </c>
      <c r="I831" s="2" t="s">
        <v>3</v>
      </c>
    </row>
    <row r="832" spans="2:9" x14ac:dyDescent="0.25">
      <c r="B832" s="1" t="s">
        <v>838</v>
      </c>
      <c r="C832" s="3">
        <v>19</v>
      </c>
      <c r="D832" s="3" t="s">
        <v>857</v>
      </c>
      <c r="E832" s="2">
        <v>2017</v>
      </c>
      <c r="F832" s="3">
        <v>9</v>
      </c>
      <c r="G832" s="3" t="s">
        <v>857</v>
      </c>
      <c r="H832" s="19">
        <v>2017</v>
      </c>
      <c r="I832" s="2" t="s">
        <v>2</v>
      </c>
    </row>
    <row r="833" spans="2:9" x14ac:dyDescent="0.25">
      <c r="B833" s="1" t="s">
        <v>839</v>
      </c>
      <c r="C833" s="3">
        <v>20</v>
      </c>
      <c r="D833" s="3" t="s">
        <v>857</v>
      </c>
      <c r="E833" s="2">
        <v>2017</v>
      </c>
      <c r="F833" s="3">
        <v>29</v>
      </c>
      <c r="G833" s="3" t="s">
        <v>858</v>
      </c>
      <c r="H833" s="19">
        <v>2017</v>
      </c>
      <c r="I833" s="2" t="s">
        <v>2</v>
      </c>
    </row>
    <row r="834" spans="2:9" x14ac:dyDescent="0.25">
      <c r="B834" s="1" t="s">
        <v>840</v>
      </c>
      <c r="C834" s="3">
        <v>20</v>
      </c>
      <c r="D834" s="3" t="s">
        <v>857</v>
      </c>
      <c r="E834" s="2">
        <v>2017</v>
      </c>
      <c r="F834" s="3">
        <v>9</v>
      </c>
      <c r="G834" s="3" t="s">
        <v>858</v>
      </c>
      <c r="H834" s="19">
        <v>2017</v>
      </c>
      <c r="I834" s="2" t="s">
        <v>2</v>
      </c>
    </row>
    <row r="835" spans="2:9" x14ac:dyDescent="0.25">
      <c r="B835" s="1" t="s">
        <v>841</v>
      </c>
      <c r="C835" s="3">
        <v>21</v>
      </c>
      <c r="D835" s="3" t="s">
        <v>857</v>
      </c>
      <c r="E835" s="2">
        <v>2017</v>
      </c>
      <c r="F835" s="3">
        <v>20</v>
      </c>
      <c r="G835" s="3" t="s">
        <v>869</v>
      </c>
      <c r="H835" s="19">
        <v>2017</v>
      </c>
      <c r="I835" s="2" t="s">
        <v>2</v>
      </c>
    </row>
    <row r="836" spans="2:9" x14ac:dyDescent="0.25">
      <c r="B836" s="1" t="s">
        <v>842</v>
      </c>
      <c r="C836" s="3">
        <v>21</v>
      </c>
      <c r="D836" s="3" t="s">
        <v>857</v>
      </c>
      <c r="E836" s="2">
        <v>2017</v>
      </c>
      <c r="F836" s="3">
        <v>3</v>
      </c>
      <c r="G836" s="3" t="s">
        <v>870</v>
      </c>
      <c r="H836" s="19">
        <v>2017</v>
      </c>
      <c r="I836" s="2" t="s">
        <v>3</v>
      </c>
    </row>
    <row r="837" spans="2:9" x14ac:dyDescent="0.25">
      <c r="B837" s="1" t="s">
        <v>843</v>
      </c>
      <c r="C837" s="3">
        <v>21</v>
      </c>
      <c r="D837" s="3" t="s">
        <v>857</v>
      </c>
      <c r="E837" s="2">
        <v>2017</v>
      </c>
      <c r="F837" s="3">
        <v>2</v>
      </c>
      <c r="G837" s="3" t="s">
        <v>857</v>
      </c>
      <c r="H837" s="19">
        <v>2017</v>
      </c>
      <c r="I837" s="2" t="s">
        <v>2</v>
      </c>
    </row>
    <row r="838" spans="2:9" x14ac:dyDescent="0.25">
      <c r="B838" s="1" t="s">
        <v>844</v>
      </c>
      <c r="C838" s="3">
        <v>22</v>
      </c>
      <c r="D838" s="3" t="s">
        <v>857</v>
      </c>
      <c r="E838" s="2">
        <v>2017</v>
      </c>
      <c r="F838" s="3">
        <v>8</v>
      </c>
      <c r="G838" s="3" t="s">
        <v>868</v>
      </c>
      <c r="H838" s="19">
        <v>2017</v>
      </c>
      <c r="I838" s="2" t="s">
        <v>3</v>
      </c>
    </row>
    <row r="839" spans="2:9" x14ac:dyDescent="0.25">
      <c r="B839" s="1" t="s">
        <v>845</v>
      </c>
      <c r="C839" s="3">
        <v>26</v>
      </c>
      <c r="D839" s="3" t="s">
        <v>857</v>
      </c>
      <c r="E839" s="2">
        <v>2017</v>
      </c>
      <c r="F839" s="3">
        <v>20</v>
      </c>
      <c r="G839" s="3" t="s">
        <v>857</v>
      </c>
      <c r="H839" s="19">
        <v>2017</v>
      </c>
      <c r="I839" s="2" t="s">
        <v>2</v>
      </c>
    </row>
    <row r="840" spans="2:9" x14ac:dyDescent="0.25">
      <c r="B840" s="1" t="s">
        <v>846</v>
      </c>
      <c r="C840" s="3">
        <v>27</v>
      </c>
      <c r="D840" s="3" t="s">
        <v>857</v>
      </c>
      <c r="E840" s="2">
        <v>2017</v>
      </c>
      <c r="F840" s="3">
        <v>17</v>
      </c>
      <c r="G840" s="3" t="s">
        <v>857</v>
      </c>
      <c r="H840" s="19">
        <v>2017</v>
      </c>
      <c r="I840" s="2" t="s">
        <v>2</v>
      </c>
    </row>
    <row r="841" spans="2:9" x14ac:dyDescent="0.25">
      <c r="B841" s="1" t="s">
        <v>847</v>
      </c>
      <c r="C841" s="3">
        <v>27</v>
      </c>
      <c r="D841" s="3" t="s">
        <v>857</v>
      </c>
      <c r="E841" s="2">
        <v>2017</v>
      </c>
      <c r="F841" s="3">
        <v>12</v>
      </c>
      <c r="G841" s="3" t="s">
        <v>858</v>
      </c>
      <c r="H841" s="19">
        <v>2017</v>
      </c>
      <c r="I841" s="2" t="s">
        <v>2</v>
      </c>
    </row>
    <row r="842" spans="2:9" x14ac:dyDescent="0.25">
      <c r="B842" s="1" t="s">
        <v>848</v>
      </c>
      <c r="C842" s="3">
        <v>27</v>
      </c>
      <c r="D842" s="3" t="s">
        <v>857</v>
      </c>
      <c r="E842" s="2">
        <v>2017</v>
      </c>
      <c r="F842" s="3">
        <v>27</v>
      </c>
      <c r="G842" s="3" t="s">
        <v>867</v>
      </c>
      <c r="H842" s="19">
        <v>1990</v>
      </c>
      <c r="I842" s="2" t="s">
        <v>2</v>
      </c>
    </row>
    <row r="843" spans="2:9" x14ac:dyDescent="0.25">
      <c r="B843" s="1" t="s">
        <v>849</v>
      </c>
      <c r="C843" s="3">
        <v>29</v>
      </c>
      <c r="D843" s="3" t="s">
        <v>857</v>
      </c>
      <c r="E843" s="2">
        <v>2017</v>
      </c>
      <c r="F843" s="3">
        <v>20</v>
      </c>
      <c r="G843" s="3" t="s">
        <v>857</v>
      </c>
      <c r="H843" s="19">
        <v>2017</v>
      </c>
      <c r="I843" s="2" t="s">
        <v>2</v>
      </c>
    </row>
    <row r="844" spans="2:9" x14ac:dyDescent="0.25">
      <c r="B844" s="1" t="s">
        <v>850</v>
      </c>
      <c r="C844" s="3">
        <v>29</v>
      </c>
      <c r="D844" s="3" t="s">
        <v>857</v>
      </c>
      <c r="E844" s="2">
        <v>2017</v>
      </c>
      <c r="F844" s="3">
        <v>22</v>
      </c>
      <c r="G844" s="3" t="s">
        <v>863</v>
      </c>
      <c r="H844" s="19">
        <v>2017</v>
      </c>
      <c r="I844" s="2" t="s">
        <v>3</v>
      </c>
    </row>
    <row r="845" spans="2:9" x14ac:dyDescent="0.25">
      <c r="B845" s="1" t="s">
        <v>851</v>
      </c>
      <c r="C845" s="3">
        <v>29</v>
      </c>
      <c r="D845" s="3" t="s">
        <v>857</v>
      </c>
      <c r="E845" s="2">
        <v>2017</v>
      </c>
      <c r="F845" s="3">
        <v>16</v>
      </c>
      <c r="G845" s="3" t="s">
        <v>863</v>
      </c>
      <c r="H845" s="19">
        <v>1958</v>
      </c>
      <c r="I845" s="2" t="s">
        <v>2</v>
      </c>
    </row>
    <row r="846" spans="2:9" x14ac:dyDescent="0.25">
      <c r="B846" s="1" t="s">
        <v>852</v>
      </c>
      <c r="C846" s="3">
        <v>29</v>
      </c>
      <c r="D846" s="3" t="s">
        <v>857</v>
      </c>
      <c r="E846" s="2">
        <v>2017</v>
      </c>
      <c r="F846" s="3">
        <v>5</v>
      </c>
      <c r="G846" s="3" t="s">
        <v>866</v>
      </c>
      <c r="H846" s="19">
        <v>1974</v>
      </c>
      <c r="I846" s="2" t="s">
        <v>2</v>
      </c>
    </row>
  </sheetData>
  <protectedRanges>
    <protectedRange algorithmName="SHA-512" hashValue="cgpRj/krUarnD3gTTDFu613ZqKGadI8zGVudXIajKfUIbyE4y+aL/KTqt/86mFbjgpNg+QDNA/KcVrkq5zIliA==" saltValue="UeLTtRdYkEfhujfeXXi1pA==" spinCount="100000" sqref="L3:N19 Q3:S14 V3:X22 AA3:AC18 AF3:AH18 AK3:AM21 AP3:AQ21 AU3:AV23 AZ3:BA18 L25:M40 Q25:R47 V27:W43 AA27:AB46" name="ENERO"/>
  </protectedRanges>
  <mergeCells count="27">
    <mergeCell ref="C1:E1"/>
    <mergeCell ref="F1:H1"/>
    <mergeCell ref="K1:M1"/>
    <mergeCell ref="K20:M20"/>
    <mergeCell ref="P1:R1"/>
    <mergeCell ref="P15:R15"/>
    <mergeCell ref="AO1:AQ1"/>
    <mergeCell ref="AO22:AQ22"/>
    <mergeCell ref="AY1:BA1"/>
    <mergeCell ref="K23:M23"/>
    <mergeCell ref="K41:M41"/>
    <mergeCell ref="P23:R23"/>
    <mergeCell ref="AT24:AV24"/>
    <mergeCell ref="U1:W1"/>
    <mergeCell ref="U23:W23"/>
    <mergeCell ref="Z1:AB1"/>
    <mergeCell ref="Z19:AB19"/>
    <mergeCell ref="AE1:AG1"/>
    <mergeCell ref="AE19:AG19"/>
    <mergeCell ref="AT1:AV1"/>
    <mergeCell ref="AJ1:AL1"/>
    <mergeCell ref="AJ22:AL22"/>
    <mergeCell ref="P48:R48"/>
    <mergeCell ref="U25:W25"/>
    <mergeCell ref="U44:W44"/>
    <mergeCell ref="Z25:AB25"/>
    <mergeCell ref="Z47:AB4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622"/>
  <sheetViews>
    <sheetView workbookViewId="0">
      <selection activeCell="K21" sqref="K21:M21"/>
    </sheetView>
  </sheetViews>
  <sheetFormatPr baseColWidth="10" defaultRowHeight="15" x14ac:dyDescent="0.25"/>
  <cols>
    <col min="5" max="5" width="20.28515625" customWidth="1"/>
    <col min="6" max="6" width="16.28515625" customWidth="1"/>
    <col min="10" max="10" width="4.85546875" customWidth="1"/>
    <col min="12" max="12" width="11.85546875" bestFit="1" customWidth="1"/>
    <col min="15" max="15" width="4.140625" customWidth="1"/>
    <col min="20" max="20" width="5" customWidth="1"/>
    <col min="25" max="25" width="5.28515625" customWidth="1"/>
    <col min="30" max="30" width="5.5703125" customWidth="1"/>
    <col min="32" max="32" width="11.85546875" bestFit="1" customWidth="1"/>
    <col min="35" max="35" width="6.140625" customWidth="1"/>
  </cols>
  <sheetData>
    <row r="1" spans="2:39" x14ac:dyDescent="0.25">
      <c r="B1" s="6" t="s">
        <v>0</v>
      </c>
      <c r="C1" s="49" t="s">
        <v>1</v>
      </c>
      <c r="D1" s="50"/>
      <c r="E1" s="51"/>
      <c r="F1" s="52" t="s">
        <v>8</v>
      </c>
      <c r="G1" s="53"/>
      <c r="H1" s="54"/>
      <c r="I1" s="13" t="s">
        <v>4</v>
      </c>
    </row>
    <row r="2" spans="2:39" x14ac:dyDescent="0.25">
      <c r="B2" s="15"/>
      <c r="C2" s="15" t="s">
        <v>853</v>
      </c>
      <c r="D2" s="15" t="s">
        <v>854</v>
      </c>
      <c r="E2" s="16" t="s">
        <v>855</v>
      </c>
      <c r="F2" s="14" t="s">
        <v>853</v>
      </c>
      <c r="G2" s="14" t="s">
        <v>854</v>
      </c>
      <c r="H2" s="12" t="s">
        <v>855</v>
      </c>
      <c r="I2" s="12" t="s">
        <v>862</v>
      </c>
      <c r="K2" s="47" t="s">
        <v>887</v>
      </c>
      <c r="L2" s="47"/>
      <c r="M2" s="47"/>
      <c r="N2" s="22" t="s">
        <v>859</v>
      </c>
      <c r="P2" s="47" t="s">
        <v>888</v>
      </c>
      <c r="Q2" s="47"/>
      <c r="R2" s="47"/>
      <c r="S2" s="22" t="s">
        <v>859</v>
      </c>
      <c r="U2" s="47" t="s">
        <v>889</v>
      </c>
      <c r="V2" s="47"/>
      <c r="W2" s="47"/>
      <c r="X2" s="22" t="s">
        <v>859</v>
      </c>
      <c r="Z2" s="47" t="s">
        <v>890</v>
      </c>
      <c r="AA2" s="47"/>
      <c r="AB2" s="47"/>
      <c r="AC2" s="22" t="s">
        <v>859</v>
      </c>
      <c r="AE2" s="47" t="s">
        <v>891</v>
      </c>
      <c r="AF2" s="47"/>
      <c r="AG2" s="47"/>
      <c r="AH2" s="22" t="s">
        <v>859</v>
      </c>
      <c r="AJ2" s="47" t="s">
        <v>892</v>
      </c>
      <c r="AK2" s="47"/>
      <c r="AL2" s="47"/>
      <c r="AM2" s="22" t="s">
        <v>859</v>
      </c>
    </row>
    <row r="3" spans="2:39" x14ac:dyDescent="0.25">
      <c r="B3" s="2" t="s">
        <v>9</v>
      </c>
      <c r="C3" s="2">
        <v>2</v>
      </c>
      <c r="D3" s="3" t="s">
        <v>856</v>
      </c>
      <c r="E3" s="2">
        <v>2018</v>
      </c>
      <c r="F3" s="2">
        <v>10</v>
      </c>
      <c r="G3" s="2"/>
      <c r="H3" s="21">
        <v>2017</v>
      </c>
      <c r="I3" s="3" t="s">
        <v>2</v>
      </c>
      <c r="K3" s="23" t="s">
        <v>860</v>
      </c>
      <c r="L3" s="23" t="s">
        <v>3</v>
      </c>
      <c r="M3" s="23" t="s">
        <v>2</v>
      </c>
      <c r="N3" s="23" t="s">
        <v>862</v>
      </c>
      <c r="P3" s="23" t="s">
        <v>860</v>
      </c>
      <c r="Q3" s="23" t="s">
        <v>3</v>
      </c>
      <c r="R3" s="23" t="s">
        <v>2</v>
      </c>
      <c r="S3" s="23" t="s">
        <v>862</v>
      </c>
      <c r="U3" s="23" t="s">
        <v>860</v>
      </c>
      <c r="V3" s="23" t="s">
        <v>3</v>
      </c>
      <c r="W3" s="23" t="s">
        <v>2</v>
      </c>
      <c r="X3" s="23" t="s">
        <v>862</v>
      </c>
      <c r="Z3" s="23" t="s">
        <v>860</v>
      </c>
      <c r="AA3" s="23" t="s">
        <v>3</v>
      </c>
      <c r="AB3" s="23" t="s">
        <v>2</v>
      </c>
      <c r="AC3" s="23" t="s">
        <v>862</v>
      </c>
      <c r="AE3" s="23" t="s">
        <v>860</v>
      </c>
      <c r="AF3" s="23" t="s">
        <v>3</v>
      </c>
      <c r="AG3" s="23" t="s">
        <v>2</v>
      </c>
      <c r="AH3" s="23" t="s">
        <v>862</v>
      </c>
      <c r="AJ3" s="23" t="s">
        <v>860</v>
      </c>
      <c r="AK3" s="23" t="s">
        <v>3</v>
      </c>
      <c r="AL3" s="23" t="s">
        <v>2</v>
      </c>
      <c r="AM3" s="23" t="s">
        <v>862</v>
      </c>
    </row>
    <row r="4" spans="2:39" x14ac:dyDescent="0.25">
      <c r="B4" s="2" t="s">
        <v>10</v>
      </c>
      <c r="C4" s="2">
        <v>2</v>
      </c>
      <c r="D4" s="2" t="s">
        <v>856</v>
      </c>
      <c r="E4" s="2">
        <v>2018</v>
      </c>
      <c r="F4" s="2">
        <v>5</v>
      </c>
      <c r="G4" s="2"/>
      <c r="H4" s="19">
        <v>2016</v>
      </c>
      <c r="I4" s="2" t="s">
        <v>3</v>
      </c>
      <c r="K4" s="18">
        <v>2</v>
      </c>
      <c r="L4" s="18">
        <f>COUNTIFS(C3:C698, "2",D3:D698,"ENERO", I3:I698, "HOMBRE")</f>
        <v>1</v>
      </c>
      <c r="M4" s="18">
        <f>COUNTIFS(C3:C698, "3",D3:D698,"ENERO", I3:I698, "MUJER")</f>
        <v>1</v>
      </c>
      <c r="N4" s="18">
        <f>SUM(L4:M4)</f>
        <v>2</v>
      </c>
      <c r="P4" s="18">
        <v>1</v>
      </c>
      <c r="Q4" s="18">
        <f>COUNTIFS(C3:C715, "1",D3:D715,"FEBRERO", I3:I715, "HOMBRE")</f>
        <v>1</v>
      </c>
      <c r="R4" s="18">
        <f>COUNTIFS(C3:C715, "1",I3:I715,"FEBRERO", I3:I715, "MUJER")</f>
        <v>0</v>
      </c>
      <c r="S4" s="18">
        <f>SUM(Q4:R4)</f>
        <v>1</v>
      </c>
      <c r="U4" s="26">
        <v>1</v>
      </c>
      <c r="V4" s="18">
        <f>COUNTIFS(C3:C727, "1",D3:D727,"MARZO", I3:I727, "HOMBRE")</f>
        <v>2</v>
      </c>
      <c r="W4" s="18">
        <f>COUNTIFS(C3:C727, "2",D3:D727,"MARZO", I3:I727, "MUJER")</f>
        <v>4</v>
      </c>
      <c r="X4" s="18">
        <f>SUM(V4:W4)</f>
        <v>6</v>
      </c>
      <c r="Z4" s="26">
        <v>2</v>
      </c>
      <c r="AA4" s="18">
        <f>COUNTIFS(C3:C729, "2",D3:D729,"ABRIL", I3:I729, "HOMBRE")</f>
        <v>0</v>
      </c>
      <c r="AB4" s="18">
        <f>COUNTIFS(C3:C729, "2",D3:D729,"ABRIL", I3:I729, "MUJER")</f>
        <v>1</v>
      </c>
      <c r="AC4" s="18">
        <f>SUM(AA4:AB4)</f>
        <v>1</v>
      </c>
      <c r="AE4" s="26">
        <v>2</v>
      </c>
      <c r="AF4" s="18">
        <f>COUNTIFS(C3:C750, "2",D3:D750,"MAYO", I3:I750, "HOMBRE")</f>
        <v>2</v>
      </c>
      <c r="AG4" s="18">
        <f>COUNTIFS(C3:C750, "2",D3:D750,"MAYO", I3:I750, "MUJER")</f>
        <v>1</v>
      </c>
      <c r="AH4" s="18">
        <f>SUM(AF4:AG4)</f>
        <v>3</v>
      </c>
      <c r="AJ4" s="26">
        <v>1</v>
      </c>
      <c r="AK4" s="18">
        <f>COUNTIFS(C3:C779, "1",D3:D779,"JUNIO", I3:I779, "HOMBRE")</f>
        <v>4</v>
      </c>
      <c r="AL4" s="18">
        <f>COUNTIFS(C3:C779, "1",D3:D779,"JUNIO", D3:D779, "MUJER")</f>
        <v>0</v>
      </c>
      <c r="AM4" s="18">
        <f>SUM(AK4:AL4)</f>
        <v>4</v>
      </c>
    </row>
    <row r="5" spans="2:39" x14ac:dyDescent="0.25">
      <c r="B5" s="2" t="s">
        <v>11</v>
      </c>
      <c r="C5" s="2">
        <v>3</v>
      </c>
      <c r="D5" s="2" t="s">
        <v>856</v>
      </c>
      <c r="E5" s="2">
        <v>2018</v>
      </c>
      <c r="F5" s="2">
        <v>7</v>
      </c>
      <c r="G5" s="2"/>
      <c r="H5" s="19">
        <v>1973</v>
      </c>
      <c r="I5" s="2" t="s">
        <v>3</v>
      </c>
      <c r="K5" s="26">
        <v>3</v>
      </c>
      <c r="L5" s="18">
        <f>COUNTIFS(C3:C698, "3",D3:D698,"ENERO", I3:I698, "HOMBRE")</f>
        <v>2</v>
      </c>
      <c r="M5" s="18">
        <f>COUNTIFS(C3:C698, "3",D3:D698,"ENERO", I3:I698, "MUJER")</f>
        <v>1</v>
      </c>
      <c r="N5" s="18">
        <f t="shared" ref="N5:N20" si="0">SUM(L5:M5)</f>
        <v>3</v>
      </c>
      <c r="P5" s="26">
        <v>2</v>
      </c>
      <c r="Q5" s="18">
        <f>COUNTIFS(C3:C715, "2",D3:D715,"FEBRERO", I3:I715, "HOMBRE")</f>
        <v>2</v>
      </c>
      <c r="R5" s="18">
        <f>COUNTIFS(C3:C715, "2",I3:I715,"FEBRERO", I3:I715, "MUJER")</f>
        <v>0</v>
      </c>
      <c r="S5" s="18">
        <f t="shared" ref="S5:S17" si="1">SUM(Q5:R5)</f>
        <v>2</v>
      </c>
      <c r="U5" s="26">
        <v>2</v>
      </c>
      <c r="V5" s="18">
        <f>COUNTIFS(C3:C727, "2",D3:D727,"MARZO", I3:I727, "HOMBRE")</f>
        <v>1</v>
      </c>
      <c r="W5" s="18">
        <f>COUNTIFS(C3:C727, "2",D3:D727,"MARZO", I3:I727, "MUJER")</f>
        <v>4</v>
      </c>
      <c r="X5" s="18">
        <f t="shared" ref="X5:X18" si="2">SUM(V5:W5)</f>
        <v>5</v>
      </c>
      <c r="Z5" s="26">
        <v>3</v>
      </c>
      <c r="AA5" s="18">
        <f>COUNTIFS(C3:C729, "3",D3:D729,"ABRIL", I3:I729, "HOMBRE")</f>
        <v>0</v>
      </c>
      <c r="AB5" s="18">
        <f>COUNTIFS(C3:C729, "3",D3:D729,"ABRIL", I3:I729, "MUJER")</f>
        <v>1</v>
      </c>
      <c r="AC5" s="18">
        <f t="shared" ref="AC5:AC15" si="3">SUM(AA5:AB5)</f>
        <v>1</v>
      </c>
      <c r="AE5" s="26">
        <v>3</v>
      </c>
      <c r="AF5" s="18">
        <f>COUNTIFS(C3:C750, "3",D3:D750,"MAYO", I3:I750, "HOMBRE")</f>
        <v>2</v>
      </c>
      <c r="AG5" s="18">
        <f>COUNTIFS(C3:C750, "3",D3:D750,"MAYO", I3:I750, "MUJER")</f>
        <v>2</v>
      </c>
      <c r="AH5" s="18">
        <f t="shared" ref="AH5:AH14" si="4">SUM(AF5:AG5)</f>
        <v>4</v>
      </c>
      <c r="AJ5" s="26">
        <v>4</v>
      </c>
      <c r="AK5" s="18">
        <f>COUNTIFS(C3:C779, "4",D3:D779,"JUNIO", I3:I779, "HOMBRE")</f>
        <v>4</v>
      </c>
      <c r="AL5" s="18">
        <f>COUNTIFS(C3:C779, "4",D3:D779,"JUNIO", D3:D779, "MUJER")</f>
        <v>0</v>
      </c>
      <c r="AM5" s="18">
        <f t="shared" ref="AM5:AM15" si="5">SUM(AK5:AL5)</f>
        <v>4</v>
      </c>
    </row>
    <row r="6" spans="2:39" x14ac:dyDescent="0.25">
      <c r="B6" s="2" t="s">
        <v>12</v>
      </c>
      <c r="C6" s="2">
        <v>3</v>
      </c>
      <c r="D6" s="2" t="s">
        <v>856</v>
      </c>
      <c r="E6" s="2">
        <v>2018</v>
      </c>
      <c r="F6" s="2">
        <v>4</v>
      </c>
      <c r="G6" s="2"/>
      <c r="H6" s="19">
        <v>2017</v>
      </c>
      <c r="I6" s="2" t="s">
        <v>2</v>
      </c>
      <c r="K6" s="26">
        <v>5</v>
      </c>
      <c r="L6" s="18">
        <f>COUNTIFS(C3:C698, "5",D3:D698,"ENERO", I3:I698, "HOMBRE")</f>
        <v>34</v>
      </c>
      <c r="M6" s="18">
        <f>COUNTIFS(C3:C698, "5",D3:D698,"ENERO", I3:I698, "MUJER")</f>
        <v>22</v>
      </c>
      <c r="N6" s="18">
        <f t="shared" si="0"/>
        <v>56</v>
      </c>
      <c r="P6" s="26">
        <v>6</v>
      </c>
      <c r="Q6" s="18">
        <f>COUNTIFS(C3:C715, "6",D3:D715,"FEBRERO", I3:I715, "HOMBRE")</f>
        <v>2</v>
      </c>
      <c r="R6" s="18">
        <f>COUNTIFS(C3:C715, "6",D3:D715,"FEBRERO", I3:I715, "MUJER")</f>
        <v>3</v>
      </c>
      <c r="S6" s="18">
        <f t="shared" si="1"/>
        <v>5</v>
      </c>
      <c r="U6" s="26">
        <v>5</v>
      </c>
      <c r="V6" s="18">
        <f>COUNTIFS(C3:C727, "5",D3:D727,"MARZO", I3:I727, "HOMBRE")</f>
        <v>0</v>
      </c>
      <c r="W6" s="18">
        <f>COUNTIFS(C3:C727, "5",D3:D727,"MARZO", I3:I727, "MUJER")</f>
        <v>1</v>
      </c>
      <c r="X6" s="18">
        <f t="shared" si="2"/>
        <v>1</v>
      </c>
      <c r="Z6" s="26">
        <v>5</v>
      </c>
      <c r="AA6" s="18">
        <f>COUNTIFS(C3:C729, "5",D3:D729,"ABRIL", I3:I729, "HOMBRE")</f>
        <v>0</v>
      </c>
      <c r="AB6" s="18">
        <f>COUNTIFS(C3:C729, "5",D3:D729,"ABRIL", I3:I729, "MUJER")</f>
        <v>1</v>
      </c>
      <c r="AC6" s="18">
        <f t="shared" si="3"/>
        <v>1</v>
      </c>
      <c r="AE6" s="26">
        <v>16</v>
      </c>
      <c r="AF6" s="18">
        <f>COUNTIFS(C3:C750, "16",D3:D750,"MAYO", I3:I750, "HOMBRE")</f>
        <v>1</v>
      </c>
      <c r="AG6" s="18">
        <f>COUNTIFS(C3:C750, "17",D3:D750,"MAYO", I3:I750, "MUJER")</f>
        <v>2</v>
      </c>
      <c r="AH6" s="18">
        <f t="shared" si="4"/>
        <v>3</v>
      </c>
      <c r="AJ6" s="26">
        <v>5</v>
      </c>
      <c r="AK6" s="18">
        <f>COUNTIFS(C3:C779, "5",D3:D779,"JUNIO", I3:I779, "HOMBRE")</f>
        <v>3</v>
      </c>
      <c r="AL6" s="18">
        <f>COUNTIFS(C3:C779, "5",D3:D779,"JUNIO", D3:D779, "MUJER")</f>
        <v>0</v>
      </c>
      <c r="AM6" s="18">
        <f t="shared" si="5"/>
        <v>3</v>
      </c>
    </row>
    <row r="7" spans="2:39" x14ac:dyDescent="0.25">
      <c r="B7" s="2" t="s">
        <v>13</v>
      </c>
      <c r="C7" s="2">
        <v>3</v>
      </c>
      <c r="D7" s="2" t="s">
        <v>856</v>
      </c>
      <c r="E7" s="2">
        <v>2018</v>
      </c>
      <c r="F7" s="2">
        <v>13</v>
      </c>
      <c r="G7" s="2"/>
      <c r="H7" s="19">
        <v>2017</v>
      </c>
      <c r="I7" s="2" t="s">
        <v>3</v>
      </c>
      <c r="K7" s="26">
        <v>9</v>
      </c>
      <c r="L7" s="18">
        <f>COUNTIFS(C3:C698, "9",D3:D698,"ENERO", I3:I698, "HOMBRE")</f>
        <v>11</v>
      </c>
      <c r="M7" s="18">
        <f>COUNTIFS(C3:C698, "9",D3:D698,"ENERO", I3:I698, "MUJER")</f>
        <v>11</v>
      </c>
      <c r="N7" s="18">
        <f t="shared" si="0"/>
        <v>22</v>
      </c>
      <c r="P7" s="26">
        <v>9</v>
      </c>
      <c r="Q7" s="18">
        <f>COUNTIFS(C3:C715, "9",D3:D715,"FEBRERO", I3:I715, "HOMBRE")</f>
        <v>2</v>
      </c>
      <c r="R7" s="18">
        <f>COUNTIFS(C3:C715, "9",I3:I715,"FEBRERO", I3:I715, "MUJER")</f>
        <v>0</v>
      </c>
      <c r="S7" s="18">
        <f t="shared" si="1"/>
        <v>2</v>
      </c>
      <c r="U7" s="26">
        <v>6</v>
      </c>
      <c r="V7" s="18">
        <f>COUNTIFS(C3:C727, "6",D3:D727,"MARZO", I3:I727, "HOMBRE")</f>
        <v>0</v>
      </c>
      <c r="W7" s="18">
        <f>COUNTIFS(C3:C727, "6",D3:D727,"MARZO", I3:I727, "MUJER")</f>
        <v>2</v>
      </c>
      <c r="X7" s="18">
        <f t="shared" si="2"/>
        <v>2</v>
      </c>
      <c r="Z7" s="26">
        <v>6</v>
      </c>
      <c r="AA7" s="18">
        <f>COUNTIFS(C3:C729, "6",D3:D729,"ABRIL", I3:I729, "HOMBRE")</f>
        <v>2</v>
      </c>
      <c r="AB7" s="18">
        <f>COUNTIFS(C3:C729, "6",D3:D729,"ABRIL", I3:I729, "MUJER")</f>
        <v>0</v>
      </c>
      <c r="AC7" s="18">
        <f t="shared" si="3"/>
        <v>2</v>
      </c>
      <c r="AE7" s="26">
        <v>17</v>
      </c>
      <c r="AF7" s="18">
        <f>COUNTIFS(C3:C750, "17",D3:D750,"MAYO", I3:I750, "HOMBRE")</f>
        <v>1</v>
      </c>
      <c r="AG7" s="18">
        <f>COUNTIFS(C3:C750, "17",D3:D750,"MAYO", I3:I750, "MUJER")</f>
        <v>2</v>
      </c>
      <c r="AH7" s="18">
        <f t="shared" si="4"/>
        <v>3</v>
      </c>
      <c r="AJ7" s="26">
        <v>6</v>
      </c>
      <c r="AK7" s="18">
        <f>COUNTIFS(C3:C779, "6",D3:D779,"JUNIO", I3:I779, "HOMBRE")</f>
        <v>1</v>
      </c>
      <c r="AL7" s="18">
        <f>COUNTIFS(C3:C779, "6",D3:D779,"JUNIO", D3:D779, "MUJER")</f>
        <v>0</v>
      </c>
      <c r="AM7" s="18">
        <f t="shared" si="5"/>
        <v>1</v>
      </c>
    </row>
    <row r="8" spans="2:39" x14ac:dyDescent="0.25">
      <c r="B8" s="2" t="s">
        <v>14</v>
      </c>
      <c r="C8" s="2">
        <v>5</v>
      </c>
      <c r="D8" s="2" t="s">
        <v>856</v>
      </c>
      <c r="E8" s="2">
        <v>2018</v>
      </c>
      <c r="F8" s="2">
        <v>20</v>
      </c>
      <c r="G8" s="2"/>
      <c r="H8" s="19">
        <v>2017</v>
      </c>
      <c r="I8" s="2" t="s">
        <v>3</v>
      </c>
      <c r="K8" s="26">
        <v>10</v>
      </c>
      <c r="L8" s="18">
        <f>COUNTIFS(C3:C698, "10",D3:D698,"ENERO", I3:I698, "HOMBRE")</f>
        <v>5</v>
      </c>
      <c r="M8" s="18">
        <f>COUNTIFS(C3:C698, "10",D3:D698,"ENERO", I3:I698, "MUJER")</f>
        <v>3</v>
      </c>
      <c r="N8" s="18">
        <f t="shared" si="0"/>
        <v>8</v>
      </c>
      <c r="P8" s="26">
        <v>12</v>
      </c>
      <c r="Q8" s="18">
        <f>COUNTIFS(C3:C715, "12",D3:D715, "FEBRERO", I3:I715, "HOMBRE")</f>
        <v>1</v>
      </c>
      <c r="R8" s="18">
        <f>COUNTIFS(C3:C715, "12",D3:D715,"FEBRERO", I3:I715, "MUJER")</f>
        <v>2</v>
      </c>
      <c r="S8" s="18">
        <f t="shared" si="1"/>
        <v>3</v>
      </c>
      <c r="U8" s="26">
        <v>7</v>
      </c>
      <c r="V8" s="18">
        <f>COUNTIFS(C3:C727, "7",D3:D727,"MARZO", I3:I727, "HOMBRE")</f>
        <v>4</v>
      </c>
      <c r="W8" s="18">
        <f>COUNTIFS(C3:C727, "7",D3:D727,"MARZO", I3:I727, "MUJER")</f>
        <v>2</v>
      </c>
      <c r="X8" s="18">
        <f t="shared" si="2"/>
        <v>6</v>
      </c>
      <c r="Z8" s="26">
        <v>9</v>
      </c>
      <c r="AA8" s="18">
        <f>COUNTIFS(C3:C729, "9",D3:D729,"ABRIL", I3:I729, "HOMBRE")</f>
        <v>0</v>
      </c>
      <c r="AB8" s="18">
        <f>COUNTIFS(C3:C729, "9",D3:D729,"ABRIL", I3:I729, "MUJER")</f>
        <v>2</v>
      </c>
      <c r="AC8" s="18">
        <f t="shared" si="3"/>
        <v>2</v>
      </c>
      <c r="AE8" s="26">
        <v>18</v>
      </c>
      <c r="AF8" s="18">
        <f>COUNTIFS(C3:C750, "18",D3:D750,"MAYO", I3:I750, "HOMBRE")</f>
        <v>1</v>
      </c>
      <c r="AG8" s="18">
        <f>COUNTIFS(C3:C750, "18",D3:D750,"MAYO", I3:I750, "MUJER")</f>
        <v>3</v>
      </c>
      <c r="AH8" s="18">
        <f t="shared" si="4"/>
        <v>4</v>
      </c>
      <c r="AJ8" s="26">
        <v>7</v>
      </c>
      <c r="AK8" s="18">
        <f>COUNTIFS(C3:C779, "7",D3:D779,"JUNIO", I3:I779, "HOMBRE")</f>
        <v>1</v>
      </c>
      <c r="AL8" s="18">
        <f>COUNTIFS(C3:C779, "7",D3:D779,"JUNIO", D3:D779, "MUJER")</f>
        <v>0</v>
      </c>
      <c r="AM8" s="18">
        <f t="shared" si="5"/>
        <v>1</v>
      </c>
    </row>
    <row r="9" spans="2:39" x14ac:dyDescent="0.25">
      <c r="B9" s="2" t="s">
        <v>15</v>
      </c>
      <c r="C9" s="2">
        <v>5</v>
      </c>
      <c r="D9" s="2" t="s">
        <v>856</v>
      </c>
      <c r="E9" s="2">
        <v>2018</v>
      </c>
      <c r="F9" s="2">
        <v>31</v>
      </c>
      <c r="G9" s="2"/>
      <c r="H9" s="19">
        <v>2017</v>
      </c>
      <c r="I9" s="2" t="s">
        <v>3</v>
      </c>
      <c r="K9" s="26">
        <v>12</v>
      </c>
      <c r="L9" s="18">
        <f>COUNTIFS(C3:C698, "12",D3:D698,"ENERO", I3:I698, "HOMBRE")</f>
        <v>4</v>
      </c>
      <c r="M9" s="18">
        <f>COUNTIFS(C3:C698, "12",D3:D698,"ENERO", I8:I703, "MUJER")</f>
        <v>4</v>
      </c>
      <c r="N9" s="18">
        <f t="shared" si="0"/>
        <v>8</v>
      </c>
      <c r="P9" s="26">
        <v>13</v>
      </c>
      <c r="Q9" s="18">
        <f>COUNTIFS(C3:C715, "13",D3:D715,"FEBRERO", I3:I715, "HOMBRE")</f>
        <v>1</v>
      </c>
      <c r="R9" s="18">
        <f>COUNTIFS(C3:C715, "13",D3:D715,"FEBRERO", I3:I715, "MUJER")</f>
        <v>3</v>
      </c>
      <c r="S9" s="18">
        <f t="shared" si="1"/>
        <v>4</v>
      </c>
      <c r="U9" s="26">
        <v>8</v>
      </c>
      <c r="V9" s="18">
        <f>COUNTIFS(C3:C727, "8",D3:D727,"MARZO", I3:I727, "HOMBRE")</f>
        <v>3</v>
      </c>
      <c r="W9" s="18">
        <f>COUNTIFS(C3:C727, "8",D3:D727,"MARZO", I3:I727, "MUJER")</f>
        <v>3</v>
      </c>
      <c r="X9" s="18">
        <f t="shared" si="2"/>
        <v>6</v>
      </c>
      <c r="Z9" s="26">
        <v>10</v>
      </c>
      <c r="AA9" s="18">
        <f>COUNTIFS(C3:C729, "20",D3:D729,"ABRIL", I3:I729, "HOMBRE")</f>
        <v>0</v>
      </c>
      <c r="AB9" s="18">
        <f>COUNTIFS(C3:C729, "10",D3:D729,"ABRIL", I3:I729, "MUJER")</f>
        <v>0</v>
      </c>
      <c r="AC9" s="18">
        <f t="shared" si="3"/>
        <v>0</v>
      </c>
      <c r="AE9" s="26">
        <v>21</v>
      </c>
      <c r="AF9" s="18">
        <f>COUNTIFS(C3:C750, "21",D3:D750,"MAYO", I3:I750, "HOMBRE")</f>
        <v>4</v>
      </c>
      <c r="AG9" s="18">
        <f>COUNTIFS(C3:C750, "21",D3:D750,"MAYO", I3:I750, "MUJER")</f>
        <v>3</v>
      </c>
      <c r="AH9" s="18">
        <f t="shared" si="4"/>
        <v>7</v>
      </c>
      <c r="AJ9" s="26">
        <v>11</v>
      </c>
      <c r="AK9" s="18">
        <f>COUNTIFS(C3:C779, "11",D3:D779,"JUNIO", I3:I779, "HOMBRE")</f>
        <v>0</v>
      </c>
      <c r="AL9" s="18">
        <f>COUNTIFS(C3:C779, "11",D3:D779,"JUNIO", D3:D779, "MUJER")</f>
        <v>0</v>
      </c>
      <c r="AM9" s="18">
        <f t="shared" si="5"/>
        <v>0</v>
      </c>
    </row>
    <row r="10" spans="2:39" x14ac:dyDescent="0.25">
      <c r="B10" s="2" t="s">
        <v>16</v>
      </c>
      <c r="C10" s="2">
        <v>5</v>
      </c>
      <c r="D10" s="2" t="s">
        <v>856</v>
      </c>
      <c r="E10" s="2">
        <v>2018</v>
      </c>
      <c r="F10" s="2">
        <v>14</v>
      </c>
      <c r="G10" s="2"/>
      <c r="H10" s="19">
        <v>2017</v>
      </c>
      <c r="I10" s="2" t="s">
        <v>3</v>
      </c>
      <c r="K10" s="26">
        <v>15</v>
      </c>
      <c r="L10" s="18">
        <f>COUNTIFS(C3:C698, "15",D3:D698,"ENERO", I3:I698, "HOMBRE")</f>
        <v>1</v>
      </c>
      <c r="M10" s="18">
        <f>COUNTIFS(C3:C698, "15",D3:D698,"ENERO", I3:I698, "MUJER")</f>
        <v>2</v>
      </c>
      <c r="N10" s="18">
        <f t="shared" si="0"/>
        <v>3</v>
      </c>
      <c r="P10" s="26">
        <v>15</v>
      </c>
      <c r="Q10" s="18">
        <f>COUNTIFS(C3:C715, "15",D3:D715,"FEBRERO", I3:I715, "HOMBRE")</f>
        <v>2</v>
      </c>
      <c r="R10" s="18">
        <f>COUNTIFS(C3:C715, "15",D3:D715,"FEBRERO", I3:I715, "MUJER")</f>
        <v>4</v>
      </c>
      <c r="S10" s="18">
        <f t="shared" si="1"/>
        <v>6</v>
      </c>
      <c r="U10" s="26">
        <v>12</v>
      </c>
      <c r="V10" s="18">
        <f>COUNTIFS(C3:C727, "12",D3:D727,"MARZO", I3:I727, "HOMBRE")</f>
        <v>0</v>
      </c>
      <c r="W10" s="18">
        <f>COUNTIFS(C3:C727, "12",D3:D727,"MARZO", I3:I727, "MUJER")</f>
        <v>1</v>
      </c>
      <c r="X10" s="18">
        <f t="shared" si="2"/>
        <v>1</v>
      </c>
      <c r="Z10" s="26">
        <v>11</v>
      </c>
      <c r="AA10" s="18">
        <f>COUNTIFS(C3:C729, "11",D3:D729,"ABRIL", I3:I729, "HOMBRE")</f>
        <v>0</v>
      </c>
      <c r="AB10" s="18">
        <f>COUNTIFS(C3:C729, "11",D3:D729,"ABRIL", I3:I729, "MUJER")</f>
        <v>1</v>
      </c>
      <c r="AC10" s="18">
        <f t="shared" si="3"/>
        <v>1</v>
      </c>
      <c r="AE10" s="26">
        <v>22</v>
      </c>
      <c r="AF10" s="18">
        <f>COUNTIFS(C3:C750, "22",D3:D750,"MAYO", I3:I750, "HOMBRE")</f>
        <v>1</v>
      </c>
      <c r="AG10" s="18">
        <f>COUNTIFS(C3:C750, "22",D3:D750,"MAYO", I3:I750, "MUJER")</f>
        <v>1</v>
      </c>
      <c r="AH10" s="18">
        <f t="shared" si="4"/>
        <v>2</v>
      </c>
      <c r="AJ10" s="26">
        <v>12</v>
      </c>
      <c r="AK10" s="18">
        <f>COUNTIFS(C3:C779, "12",D3:D779,"JUNIO", I3:I779, "HOMBRE")</f>
        <v>2</v>
      </c>
      <c r="AL10" s="18">
        <f>COUNTIFS(C3:C779, "12",D3:D779,"JUNIO", D3:D779, "MUJER")</f>
        <v>0</v>
      </c>
      <c r="AM10" s="18">
        <f t="shared" si="5"/>
        <v>2</v>
      </c>
    </row>
    <row r="11" spans="2:39" x14ac:dyDescent="0.25">
      <c r="B11" s="2" t="s">
        <v>17</v>
      </c>
      <c r="C11" s="2">
        <v>5</v>
      </c>
      <c r="D11" s="2" t="s">
        <v>856</v>
      </c>
      <c r="E11" s="2">
        <v>2018</v>
      </c>
      <c r="F11" s="2">
        <v>16</v>
      </c>
      <c r="G11" s="2"/>
      <c r="H11" s="19">
        <v>2017</v>
      </c>
      <c r="I11" s="2" t="s">
        <v>2</v>
      </c>
      <c r="K11" s="26">
        <v>16</v>
      </c>
      <c r="L11" s="18">
        <f>COUNTIFS(C3:C698, "16",D3:D698,"ENERO", I3:I698, "HOMBRE")</f>
        <v>0</v>
      </c>
      <c r="M11" s="18">
        <f>COUNTIFS(C3:C698, "16",D3:D698,"ENERO", I3:I698, "MUJER")</f>
        <v>1</v>
      </c>
      <c r="N11" s="18">
        <f t="shared" si="0"/>
        <v>1</v>
      </c>
      <c r="P11" s="26">
        <v>16</v>
      </c>
      <c r="Q11" s="18">
        <f>COUNTIFS(C3:C715, "16",D3:D715,"FEBRERO", I3:I715, "HOMBRE")</f>
        <v>1</v>
      </c>
      <c r="R11" s="18">
        <f>COUNTIFS(C3:C715, "16",I3:I715,"FEBRERO", I3:I715, "MUJER")</f>
        <v>0</v>
      </c>
      <c r="S11" s="18">
        <f t="shared" si="1"/>
        <v>1</v>
      </c>
      <c r="U11" s="26">
        <v>13</v>
      </c>
      <c r="V11" s="18">
        <f>COUNTIFS(C3:C727, "13",D3:D727,"MARZO", I3:I727, "HOMBRE")</f>
        <v>2</v>
      </c>
      <c r="W11" s="18">
        <f>COUNTIFS(C3:C727, "13",D3:D727,"MARZO", I3:I727, "MUJER")</f>
        <v>2</v>
      </c>
      <c r="X11" s="18">
        <f t="shared" si="2"/>
        <v>4</v>
      </c>
      <c r="Z11" s="26">
        <v>18</v>
      </c>
      <c r="AA11" s="18">
        <f>COUNTIFS(C3:C729, "18",D3:D729,"ABRIL", I3:I729, "HOMBRE")</f>
        <v>0</v>
      </c>
      <c r="AB11" s="18">
        <f>COUNTIFS(C3:C729, "18",D3:D729,"ABRIL", I3:I729, "MUJER")</f>
        <v>1</v>
      </c>
      <c r="AC11" s="18">
        <f t="shared" si="3"/>
        <v>1</v>
      </c>
      <c r="AE11" s="26">
        <v>25</v>
      </c>
      <c r="AF11" s="18">
        <f>COUNTIFS(C3:C750, "25",D3:D750,"MAYO", I3:I750, "HOMBRE")</f>
        <v>2</v>
      </c>
      <c r="AG11" s="18">
        <f>COUNTIFS(C3:C750, "25",D3:D750,"MAYO", I3:I750, "MUJER")</f>
        <v>4</v>
      </c>
      <c r="AH11" s="18">
        <f t="shared" si="4"/>
        <v>6</v>
      </c>
      <c r="AJ11" s="26">
        <v>13</v>
      </c>
      <c r="AK11" s="18">
        <f>COUNTIFS(C3:C779, "13",D3:D779,"JUNIO", I3:I779, "HOMBRE")</f>
        <v>3</v>
      </c>
      <c r="AL11" s="18">
        <f>COUNTIFS(C3:C779, "13",D3:D779,"JUNIO", D3:D779, "MUJER")</f>
        <v>0</v>
      </c>
      <c r="AM11" s="18">
        <f t="shared" si="5"/>
        <v>3</v>
      </c>
    </row>
    <row r="12" spans="2:39" x14ac:dyDescent="0.25">
      <c r="B12" s="2" t="s">
        <v>18</v>
      </c>
      <c r="C12" s="2">
        <v>5</v>
      </c>
      <c r="D12" s="2" t="s">
        <v>856</v>
      </c>
      <c r="E12" s="2">
        <v>2018</v>
      </c>
      <c r="F12" s="2">
        <v>28</v>
      </c>
      <c r="G12" s="2"/>
      <c r="H12" s="19">
        <v>2017</v>
      </c>
      <c r="I12" s="2" t="s">
        <v>3</v>
      </c>
      <c r="K12" s="26">
        <v>17</v>
      </c>
      <c r="L12" s="18">
        <f>COUNTIFS(C3:C698, "17",D3:D698,"ENERO", I3:I698, "HOMBRE")</f>
        <v>1</v>
      </c>
      <c r="M12" s="18">
        <f>COUNTIFS(C3:C698, "17",D3:D698,"ENERO", I3:I698, "MUJER")</f>
        <v>2</v>
      </c>
      <c r="N12" s="18">
        <f t="shared" si="0"/>
        <v>3</v>
      </c>
      <c r="P12" s="26">
        <v>19</v>
      </c>
      <c r="Q12" s="18">
        <f>COUNTIFS(C3:C715, "19",D3:D715,"FEBRERO", I3:I715, "HOMBRE")</f>
        <v>2</v>
      </c>
      <c r="R12" s="18">
        <f>COUNTIFS(C3:C715, "19",I3:I715,"FEBRERO", I11:I723, "MUJER")</f>
        <v>0</v>
      </c>
      <c r="S12" s="18">
        <f t="shared" si="1"/>
        <v>2</v>
      </c>
      <c r="U12" s="26">
        <v>15</v>
      </c>
      <c r="V12" s="18">
        <f>COUNTIFS(C3:C727, "15",D3:D727,"MARZO", I3:I727, "HOMBRE")</f>
        <v>1</v>
      </c>
      <c r="W12" s="18">
        <f>COUNTIFS(C3:C727, "15",D3:D727,"MARZO", I3:I727, "MUJER")</f>
        <v>1</v>
      </c>
      <c r="X12" s="18">
        <f t="shared" si="2"/>
        <v>2</v>
      </c>
      <c r="Z12" s="26">
        <v>20</v>
      </c>
      <c r="AA12" s="18">
        <f>COUNTIFS(C3:C729, "20",D3:D729,"ABRIL", I3:I729, "HOMBRE")</f>
        <v>0</v>
      </c>
      <c r="AB12" s="18">
        <f>COUNTIFS(C3:C729, "20",D3:D729,"ABRIL", I3:I729, "MUJER")</f>
        <v>4</v>
      </c>
      <c r="AC12" s="18">
        <f t="shared" si="3"/>
        <v>4</v>
      </c>
      <c r="AE12" s="26">
        <v>28</v>
      </c>
      <c r="AF12" s="18">
        <f>COUNTIFS(C3:C750, "28",D3:D750,"MAYO", I3:I750, "HOMBRE")</f>
        <v>2</v>
      </c>
      <c r="AG12" s="18">
        <f>COUNTIFS(C3:C750, "28",D3:D750,"MAYO", I3:I750, "MUJER")</f>
        <v>2</v>
      </c>
      <c r="AH12" s="18">
        <f t="shared" si="4"/>
        <v>4</v>
      </c>
      <c r="AJ12" s="26">
        <v>14</v>
      </c>
      <c r="AK12" s="18">
        <f>COUNTIFS(C3:C779, "14",D3:D779,"JUNIO", I3:I779, "HOMBRE")</f>
        <v>1</v>
      </c>
      <c r="AL12" s="18">
        <f>COUNTIFS(C3:C779, "14",D3:D779,"JUNIO", D3:D779, "MUJER")</f>
        <v>0</v>
      </c>
      <c r="AM12" s="18">
        <f t="shared" si="5"/>
        <v>1</v>
      </c>
    </row>
    <row r="13" spans="2:39" x14ac:dyDescent="0.25">
      <c r="B13" s="2" t="s">
        <v>19</v>
      </c>
      <c r="C13" s="2">
        <v>5</v>
      </c>
      <c r="D13" s="2" t="s">
        <v>856</v>
      </c>
      <c r="E13" s="2">
        <v>2018</v>
      </c>
      <c r="F13" s="2">
        <v>16</v>
      </c>
      <c r="G13" s="2"/>
      <c r="H13" s="19">
        <v>2017</v>
      </c>
      <c r="I13" s="2" t="s">
        <v>3</v>
      </c>
      <c r="K13" s="26">
        <v>18</v>
      </c>
      <c r="L13" s="18">
        <f>COUNTIFS(C3:C698, "18",D3:D698,"ENERO", I3:I698, "HOMBRE")</f>
        <v>1</v>
      </c>
      <c r="M13" s="18">
        <f>COUNTIFS(C3:C698, "18",D3:D698,"ENERO", I3:I698, "MUJER")</f>
        <v>0</v>
      </c>
      <c r="N13" s="18">
        <f t="shared" si="0"/>
        <v>1</v>
      </c>
      <c r="P13" s="26">
        <v>20</v>
      </c>
      <c r="Q13" s="18">
        <f>COUNTIFS(C3:C715, "20",D3:D715,"FEBRERO", I3:I715, "HOMBRE")</f>
        <v>4</v>
      </c>
      <c r="R13" s="18">
        <f>COUNTIFS(C3:C715, "20",I3:I715,"FEBRERO", I3:I715, "MUJER")</f>
        <v>0</v>
      </c>
      <c r="S13" s="18">
        <f t="shared" si="1"/>
        <v>4</v>
      </c>
      <c r="U13" s="26">
        <v>20</v>
      </c>
      <c r="V13" s="18">
        <f>COUNTIFS(C3:C727, "20 ",D3:D727,"MARZO", I3:I727, "HOMBRE")</f>
        <v>2</v>
      </c>
      <c r="W13" s="18">
        <f>COUNTIFS(C3:C727, "20",D3:D727,"MARZO", I3:I727, "MUJER")</f>
        <v>1</v>
      </c>
      <c r="X13" s="18">
        <f t="shared" si="2"/>
        <v>3</v>
      </c>
      <c r="Z13" s="26">
        <v>26</v>
      </c>
      <c r="AA13" s="18">
        <f>COUNTIFS(C3:C729, "26",D3:D729,"ABRIL", I3:I729, "HOMBRE")</f>
        <v>0</v>
      </c>
      <c r="AB13" s="18">
        <f>COUNTIFS(C3:C729, "26",D3:D729,"ABRIL", I3:I729, "MUJER")</f>
        <v>1</v>
      </c>
      <c r="AC13" s="18">
        <f t="shared" si="3"/>
        <v>1</v>
      </c>
      <c r="AE13" s="26">
        <v>29</v>
      </c>
      <c r="AF13" s="18">
        <f>COUNTIFS(C3:C750, "29",D3:D750,"MAYO", I3:I750, "HOMBRE")</f>
        <v>4</v>
      </c>
      <c r="AG13" s="18">
        <f>COUNTIFS(C3:C750, "29",D3:D750,"MAYO", I3:I750, "MUJER")</f>
        <v>1</v>
      </c>
      <c r="AH13" s="18">
        <f t="shared" si="4"/>
        <v>5</v>
      </c>
      <c r="AJ13" s="26">
        <v>20</v>
      </c>
      <c r="AK13" s="18">
        <f>COUNTIFS(C3:C779, "20",D3:D779,"JUNIO", I3:I779, "HOMBRE")</f>
        <v>1</v>
      </c>
      <c r="AL13" s="18">
        <f>COUNTIFS(C3:C779, "20",D3:D779,"JUNIO", D3:D779, "MUJER")</f>
        <v>0</v>
      </c>
      <c r="AM13" s="18">
        <f t="shared" si="5"/>
        <v>1</v>
      </c>
    </row>
    <row r="14" spans="2:39" x14ac:dyDescent="0.25">
      <c r="B14" s="2" t="s">
        <v>20</v>
      </c>
      <c r="C14" s="2">
        <v>5</v>
      </c>
      <c r="D14" s="2" t="s">
        <v>856</v>
      </c>
      <c r="E14" s="2">
        <v>2018</v>
      </c>
      <c r="F14" s="2">
        <v>1</v>
      </c>
      <c r="G14" s="2"/>
      <c r="H14" s="19" t="s">
        <v>7</v>
      </c>
      <c r="I14" s="2" t="s">
        <v>3</v>
      </c>
      <c r="K14" s="26">
        <v>19</v>
      </c>
      <c r="L14" s="18">
        <f>COUNTIFS(C3:C698, "19",D3:D698,"ENERO", I3:I698, "HOMBRE")</f>
        <v>0</v>
      </c>
      <c r="M14" s="18">
        <f>COUNTIFS(C3:C698, "19",D3:D698,"ENERO", I3:I698, "MUJER")</f>
        <v>1</v>
      </c>
      <c r="N14" s="18">
        <f t="shared" si="0"/>
        <v>1</v>
      </c>
      <c r="P14" s="26">
        <v>21</v>
      </c>
      <c r="Q14" s="18">
        <f>COUNTIFS(C3:C715, "21",D3:D715,"FEBRERO", I3:I715, "HOMBRE")</f>
        <v>2</v>
      </c>
      <c r="R14" s="18">
        <f>COUNTIFS(C3:C715, "21",I3:I715,"FEBRERO", I3:I715, "MUJER")</f>
        <v>0</v>
      </c>
      <c r="S14" s="18">
        <f t="shared" si="1"/>
        <v>2</v>
      </c>
      <c r="U14" s="26">
        <v>21</v>
      </c>
      <c r="V14" s="18">
        <f>COUNTIFS(C3:C727, "21",D3:D727,"MARZO", I3:I727, "HOMBRE")</f>
        <v>0</v>
      </c>
      <c r="W14" s="18">
        <f>COUNTIFS(C3:C726, "21",D3:D726,"MARZO", I3:I726, "MUJER")</f>
        <v>1</v>
      </c>
      <c r="X14" s="18">
        <f t="shared" si="2"/>
        <v>1</v>
      </c>
      <c r="Z14" s="26">
        <v>27</v>
      </c>
      <c r="AA14" s="18">
        <f>COUNTIFS(C3:C729, "27",D3:D729,"ABRIL", I3:I729, "HOMBRE")</f>
        <v>1</v>
      </c>
      <c r="AB14" s="18">
        <f>COUNTIFS(C3:C729, "27",D3:D729,"ABRIL", I3:I729, "MUJER")</f>
        <v>0</v>
      </c>
      <c r="AC14" s="18">
        <f t="shared" si="3"/>
        <v>1</v>
      </c>
      <c r="AE14" s="26">
        <v>30</v>
      </c>
      <c r="AF14" s="18">
        <f>COUNTIFS(C3:C750, "30",D3:D750,"MAYO", I3:I750, "HOMBRE")</f>
        <v>3</v>
      </c>
      <c r="AG14" s="18">
        <f>COUNTIFS(C3:C750, "30",D3:D750,"MAYO", I3:I750, "MUJER")</f>
        <v>1</v>
      </c>
      <c r="AH14" s="18">
        <f t="shared" si="4"/>
        <v>4</v>
      </c>
      <c r="AJ14" s="26">
        <v>28</v>
      </c>
      <c r="AK14" s="18">
        <f>COUNTIFS(C3:C779, "28",D3:D779,"JUNIO", I3:I779, "HOMBRE")</f>
        <v>0</v>
      </c>
      <c r="AL14" s="18">
        <f>COUNTIFS(C3:C779, "28",D3:D779,"JUNIO", D3:D779, "MUJER")</f>
        <v>0</v>
      </c>
      <c r="AM14" s="18">
        <f t="shared" si="5"/>
        <v>0</v>
      </c>
    </row>
    <row r="15" spans="2:39" x14ac:dyDescent="0.25">
      <c r="B15" s="2" t="s">
        <v>21</v>
      </c>
      <c r="C15" s="2">
        <v>5</v>
      </c>
      <c r="D15" s="2" t="s">
        <v>856</v>
      </c>
      <c r="E15" s="2">
        <v>2018</v>
      </c>
      <c r="F15" s="2">
        <v>3</v>
      </c>
      <c r="G15" s="2"/>
      <c r="H15" s="19">
        <v>41854</v>
      </c>
      <c r="I15" s="2" t="s">
        <v>2</v>
      </c>
      <c r="K15" s="26">
        <v>22</v>
      </c>
      <c r="L15" s="18">
        <f>COUNTIFS(C3:C698, "22",D3:D698,"ENERO", I3:I698, "HOMBRE")</f>
        <v>2</v>
      </c>
      <c r="M15" s="18">
        <f>COUNTIFS(C3:C698, "22",D3:D698,"ENERO", I3:I698, "MUJER")</f>
        <v>5</v>
      </c>
      <c r="N15" s="18">
        <f t="shared" si="0"/>
        <v>7</v>
      </c>
      <c r="P15" s="26">
        <v>23</v>
      </c>
      <c r="Q15" s="18">
        <f>COUNTIFS(C3:C715, "23",D3:D715,"FEBRERO", I3:I715, "HOMBRE")</f>
        <v>4</v>
      </c>
      <c r="R15" s="18">
        <f>COUNTIFS(C3:C715, "23",D3:D715,"FEBRERO", I3:I715, "MUJER")</f>
        <v>7</v>
      </c>
      <c r="S15" s="18">
        <f t="shared" si="1"/>
        <v>11</v>
      </c>
      <c r="U15" s="26">
        <v>22</v>
      </c>
      <c r="V15" s="18">
        <f>COUNTIFS(C3:C727, "22",D3:D727,"MARZO", I3:I727, "HOMBRE")</f>
        <v>1</v>
      </c>
      <c r="W15" s="18">
        <f>COUNTIFS(C3:C727, "22",D3:D727,"MARZO", I3:I727, "MUJER")</f>
        <v>1</v>
      </c>
      <c r="X15" s="18">
        <f t="shared" si="2"/>
        <v>2</v>
      </c>
      <c r="Z15" s="26">
        <v>30</v>
      </c>
      <c r="AA15" s="18">
        <f>COUNTIFS(C3:C729, "30",D3:D729,"ABRIL", I3:I729, "HOMBRE")</f>
        <v>1</v>
      </c>
      <c r="AB15" s="18">
        <f>COUNTIFS(C3:C729, "30",D3:D729,"ABRIL", I3:I729, "MUJER")</f>
        <v>2</v>
      </c>
      <c r="AC15" s="18">
        <f t="shared" si="3"/>
        <v>3</v>
      </c>
      <c r="AE15" s="46" t="s">
        <v>871</v>
      </c>
      <c r="AF15" s="46"/>
      <c r="AG15" s="46"/>
      <c r="AH15" s="18">
        <f>SUM(AH4:AH14)</f>
        <v>45</v>
      </c>
      <c r="AJ15" s="26">
        <v>29</v>
      </c>
      <c r="AK15" s="18">
        <f>COUNTIFS(C3:C779, "29",D3:D779,"JUNIO", I3:I779, "HOMBRE")</f>
        <v>3</v>
      </c>
      <c r="AL15" s="18">
        <f>COUNTIFS(C3:C779, "29",D3:D779,"JUNIO", D3:D779, "MUJER")</f>
        <v>0</v>
      </c>
      <c r="AM15" s="18">
        <f t="shared" si="5"/>
        <v>3</v>
      </c>
    </row>
    <row r="16" spans="2:39" x14ac:dyDescent="0.25">
      <c r="B16" s="2" t="s">
        <v>22</v>
      </c>
      <c r="C16" s="2">
        <v>5</v>
      </c>
      <c r="D16" s="2" t="s">
        <v>856</v>
      </c>
      <c r="E16" s="2">
        <v>2018</v>
      </c>
      <c r="F16" s="2">
        <v>3</v>
      </c>
      <c r="G16" s="2"/>
      <c r="H16" s="19">
        <v>2017</v>
      </c>
      <c r="I16" s="2" t="s">
        <v>3</v>
      </c>
      <c r="K16" s="26">
        <v>25</v>
      </c>
      <c r="L16" s="18">
        <f>COUNTIFS(C3:C698, "25",D3:D698,"ENERO", I3:I698, "HOMBRE")</f>
        <v>2</v>
      </c>
      <c r="M16" s="18">
        <f>COUNTIFS(C3:C698, "25",D3:D698,"ENERO", I3:I698, "MUJER")</f>
        <v>1</v>
      </c>
      <c r="N16" s="18">
        <f t="shared" si="0"/>
        <v>3</v>
      </c>
      <c r="P16" s="26">
        <v>26</v>
      </c>
      <c r="Q16" s="18">
        <f>COUNTIFS(C3:C715, "26",D3:D715,"FEBRERO", I3:I715, "HOMBRE")</f>
        <v>2</v>
      </c>
      <c r="R16" s="18">
        <f>COUNTIFS(C3:C715, "26",D3:D715,"FEBRERO", I3:I715, "MUJER")</f>
        <v>5</v>
      </c>
      <c r="S16" s="18">
        <f t="shared" si="1"/>
        <v>7</v>
      </c>
      <c r="U16" s="26">
        <v>26</v>
      </c>
      <c r="V16" s="18">
        <f>COUNTIFS(C3:C727, "26",D3:D727,"MARZO", I3:I727, "HOMBRE")</f>
        <v>3</v>
      </c>
      <c r="W16" s="18">
        <f>COUNTIFS(C3:C727, "26",D3:D727,"MARZO", I3:I727, "MUJER")</f>
        <v>2</v>
      </c>
      <c r="X16" s="18">
        <f t="shared" si="2"/>
        <v>5</v>
      </c>
      <c r="Z16" s="46" t="s">
        <v>871</v>
      </c>
      <c r="AA16" s="46"/>
      <c r="AB16" s="46"/>
      <c r="AC16" s="25">
        <f>SUM(AC4:AC15)</f>
        <v>18</v>
      </c>
    </row>
    <row r="17" spans="2:39" x14ac:dyDescent="0.25">
      <c r="B17" s="2" t="s">
        <v>23</v>
      </c>
      <c r="C17" s="2">
        <v>5</v>
      </c>
      <c r="D17" s="2" t="s">
        <v>856</v>
      </c>
      <c r="E17" s="2">
        <v>2018</v>
      </c>
      <c r="F17" s="2">
        <v>7</v>
      </c>
      <c r="G17" s="2"/>
      <c r="H17" s="19">
        <v>2017</v>
      </c>
      <c r="I17" s="2" t="s">
        <v>2</v>
      </c>
      <c r="K17" s="26">
        <v>26</v>
      </c>
      <c r="L17" s="18">
        <f>COUNTIFS(C3:C698, "26",D3:D698,"ENERO", I3:I698, "HOMBRE")</f>
        <v>2</v>
      </c>
      <c r="M17" s="18">
        <f>COUNTIFS(C3:C698, "26",D3:D698,"ENERO", I3:I698, "MUJER")</f>
        <v>0</v>
      </c>
      <c r="N17" s="18">
        <f t="shared" si="0"/>
        <v>2</v>
      </c>
      <c r="P17" s="26">
        <v>27</v>
      </c>
      <c r="Q17" s="18">
        <f>COUNTIFS(C3:C715, "27",D3:D715,"FEBRERO", I3:I715, "HOMBRE")</f>
        <v>1</v>
      </c>
      <c r="R17" s="18">
        <f>COUNTIFS(C3:C715, "27",D3:D715,"FEBRERO", I3:I715, "MUJER")</f>
        <v>1</v>
      </c>
      <c r="S17" s="18">
        <f t="shared" si="1"/>
        <v>2</v>
      </c>
      <c r="U17" s="26">
        <v>27</v>
      </c>
      <c r="V17" s="18">
        <f>COUNTIFS(C3:C727, "27",D3:D727,"MARZO", I3:I727, "HOMBRE")</f>
        <v>1</v>
      </c>
      <c r="W17" s="18">
        <f>COUNTIFS(C3:C727, "27",D3:D727,"MARZO", I3:I727, "MUJER")</f>
        <v>1</v>
      </c>
      <c r="X17" s="18">
        <f t="shared" si="2"/>
        <v>2</v>
      </c>
    </row>
    <row r="18" spans="2:39" x14ac:dyDescent="0.25">
      <c r="B18" s="2" t="s">
        <v>24</v>
      </c>
      <c r="C18" s="2">
        <v>5</v>
      </c>
      <c r="D18" s="2" t="s">
        <v>856</v>
      </c>
      <c r="E18" s="2">
        <v>2018</v>
      </c>
      <c r="F18" s="2">
        <v>22</v>
      </c>
      <c r="G18" s="2"/>
      <c r="H18" s="19">
        <v>42512</v>
      </c>
      <c r="I18" s="2" t="s">
        <v>3</v>
      </c>
      <c r="K18" s="26">
        <v>29</v>
      </c>
      <c r="L18" s="18">
        <f>COUNTIFS(C3:C698, "29",D3:D698,"ENERO", I3:I698, "HOMBRE")</f>
        <v>2</v>
      </c>
      <c r="M18" s="18">
        <f>COUNTIFS(C3:C698, "29",D3:D698,"ENERO", I3:I698, "MUJER")</f>
        <v>0</v>
      </c>
      <c r="N18" s="18">
        <f t="shared" si="0"/>
        <v>2</v>
      </c>
      <c r="P18" s="46" t="s">
        <v>871</v>
      </c>
      <c r="Q18" s="46"/>
      <c r="R18" s="46"/>
      <c r="S18" s="18">
        <f>SUM(S4:S17)</f>
        <v>52</v>
      </c>
      <c r="U18" s="26">
        <v>28</v>
      </c>
      <c r="V18" s="18">
        <f>COUNTIFS(C3:C727, "28",D3:D727,"MARZO", I3:I727, "HOMBRE")</f>
        <v>2</v>
      </c>
      <c r="W18" s="18">
        <f>COUNTIFS(C3:C727, "28",D3:D727,"MARZO", I3:I727, "MUJER")</f>
        <v>1</v>
      </c>
      <c r="X18" s="18">
        <f t="shared" si="2"/>
        <v>3</v>
      </c>
    </row>
    <row r="19" spans="2:39" x14ac:dyDescent="0.25">
      <c r="B19" s="2" t="s">
        <v>25</v>
      </c>
      <c r="C19" s="2">
        <v>5</v>
      </c>
      <c r="D19" s="2" t="s">
        <v>856</v>
      </c>
      <c r="E19" s="2">
        <v>2018</v>
      </c>
      <c r="F19" s="2">
        <v>7</v>
      </c>
      <c r="G19" s="2"/>
      <c r="H19" s="19">
        <v>2017</v>
      </c>
      <c r="I19" s="2" t="s">
        <v>3</v>
      </c>
      <c r="K19" s="26">
        <v>30</v>
      </c>
      <c r="L19" s="18">
        <f>COUNTIFS(C3:C698, "30",D3:D698,"ENERO", I3:I698, "HOMBRE")</f>
        <v>0</v>
      </c>
      <c r="M19" s="18">
        <f>COUNTIFS(C3:C698, "30",D3:D698,"ENERO", I3:I698, "MUJER")</f>
        <v>1</v>
      </c>
      <c r="N19" s="18">
        <f t="shared" si="0"/>
        <v>1</v>
      </c>
      <c r="U19" s="46" t="s">
        <v>871</v>
      </c>
      <c r="V19" s="46"/>
      <c r="W19" s="46"/>
      <c r="X19" s="25">
        <f>SUM(X4:X18)</f>
        <v>49</v>
      </c>
    </row>
    <row r="20" spans="2:39" x14ac:dyDescent="0.25">
      <c r="B20" s="2" t="s">
        <v>26</v>
      </c>
      <c r="C20" s="2">
        <v>5</v>
      </c>
      <c r="D20" s="2" t="s">
        <v>856</v>
      </c>
      <c r="E20" s="2">
        <v>2018</v>
      </c>
      <c r="F20" s="2">
        <v>27</v>
      </c>
      <c r="G20" s="2"/>
      <c r="H20" s="19">
        <v>2017</v>
      </c>
      <c r="I20" s="2" t="s">
        <v>3</v>
      </c>
      <c r="K20" s="26">
        <v>31</v>
      </c>
      <c r="L20" s="18">
        <f>COUNTIFS(C19:C714, "2",D19:D714,"ENERO", I19:I714, "HOMBRE")</f>
        <v>0</v>
      </c>
      <c r="M20" s="18">
        <f>COUNTIFS(C3:C698, "31",D3:D698,"ENERO", I3:I698, "MUJER")</f>
        <v>0</v>
      </c>
      <c r="N20" s="18">
        <f t="shared" si="0"/>
        <v>0</v>
      </c>
    </row>
    <row r="21" spans="2:39" x14ac:dyDescent="0.25">
      <c r="B21" s="2" t="s">
        <v>27</v>
      </c>
      <c r="C21" s="2">
        <v>5</v>
      </c>
      <c r="D21" s="2" t="s">
        <v>856</v>
      </c>
      <c r="E21" s="2">
        <v>2018</v>
      </c>
      <c r="F21" s="2">
        <v>7</v>
      </c>
      <c r="G21" s="2"/>
      <c r="H21" s="19">
        <v>2017</v>
      </c>
      <c r="I21" s="2" t="s">
        <v>3</v>
      </c>
      <c r="K21" s="46" t="s">
        <v>871</v>
      </c>
      <c r="L21" s="46"/>
      <c r="M21" s="46"/>
      <c r="N21" s="25">
        <f>SUM(N4:N20)</f>
        <v>123</v>
      </c>
    </row>
    <row r="22" spans="2:39" x14ac:dyDescent="0.25">
      <c r="B22" s="2" t="s">
        <v>28</v>
      </c>
      <c r="C22" s="2">
        <v>5</v>
      </c>
      <c r="D22" s="2" t="s">
        <v>856</v>
      </c>
      <c r="E22" s="2">
        <v>2018</v>
      </c>
      <c r="F22" s="2">
        <v>19</v>
      </c>
      <c r="G22" s="2"/>
      <c r="H22" s="19">
        <v>2017</v>
      </c>
      <c r="I22" s="2" t="s">
        <v>3</v>
      </c>
    </row>
    <row r="23" spans="2:39" x14ac:dyDescent="0.25">
      <c r="B23" s="2" t="s">
        <v>29</v>
      </c>
      <c r="C23" s="2">
        <v>5</v>
      </c>
      <c r="D23" s="2" t="s">
        <v>856</v>
      </c>
      <c r="E23" s="2">
        <v>2018</v>
      </c>
      <c r="F23" s="2">
        <v>17</v>
      </c>
      <c r="G23" s="2"/>
      <c r="H23" s="19">
        <v>2017</v>
      </c>
      <c r="I23" s="2" t="s">
        <v>3</v>
      </c>
      <c r="K23" s="47" t="s">
        <v>893</v>
      </c>
      <c r="L23" s="47"/>
      <c r="M23" s="47"/>
      <c r="N23" s="22" t="s">
        <v>859</v>
      </c>
      <c r="P23" s="47" t="s">
        <v>894</v>
      </c>
      <c r="Q23" s="47"/>
      <c r="R23" s="47"/>
      <c r="S23" s="22" t="s">
        <v>859</v>
      </c>
      <c r="U23" s="47" t="s">
        <v>895</v>
      </c>
      <c r="V23" s="47"/>
      <c r="W23" s="47"/>
      <c r="X23" s="22" t="s">
        <v>859</v>
      </c>
      <c r="Z23" s="47" t="s">
        <v>896</v>
      </c>
      <c r="AA23" s="47"/>
      <c r="AB23" s="47"/>
      <c r="AC23" s="22" t="s">
        <v>859</v>
      </c>
      <c r="AE23" s="47" t="s">
        <v>897</v>
      </c>
      <c r="AF23" s="47"/>
      <c r="AG23" s="47"/>
      <c r="AH23" s="22" t="s">
        <v>859</v>
      </c>
      <c r="AJ23" s="47" t="s">
        <v>898</v>
      </c>
      <c r="AK23" s="47"/>
      <c r="AL23" s="47"/>
      <c r="AM23" s="22" t="s">
        <v>859</v>
      </c>
    </row>
    <row r="24" spans="2:39" x14ac:dyDescent="0.25">
      <c r="B24" s="2" t="s">
        <v>30</v>
      </c>
      <c r="C24" s="2">
        <v>5</v>
      </c>
      <c r="D24" s="2" t="s">
        <v>856</v>
      </c>
      <c r="E24" s="2">
        <v>2018</v>
      </c>
      <c r="F24" s="2">
        <v>20</v>
      </c>
      <c r="G24" s="2"/>
      <c r="H24" s="19">
        <v>2017</v>
      </c>
      <c r="I24" s="2" t="s">
        <v>2</v>
      </c>
      <c r="K24" s="23" t="s">
        <v>860</v>
      </c>
      <c r="L24" s="23" t="s">
        <v>3</v>
      </c>
      <c r="M24" s="23" t="s">
        <v>2</v>
      </c>
      <c r="N24" s="23" t="s">
        <v>862</v>
      </c>
      <c r="P24" s="23" t="s">
        <v>860</v>
      </c>
      <c r="Q24" s="23" t="s">
        <v>3</v>
      </c>
      <c r="R24" s="23" t="s">
        <v>2</v>
      </c>
      <c r="S24" s="23" t="s">
        <v>862</v>
      </c>
      <c r="U24" s="23" t="s">
        <v>860</v>
      </c>
      <c r="V24" s="23" t="s">
        <v>3</v>
      </c>
      <c r="W24" s="23" t="s">
        <v>2</v>
      </c>
      <c r="X24" s="23" t="s">
        <v>862</v>
      </c>
      <c r="Z24" s="23" t="s">
        <v>860</v>
      </c>
      <c r="AA24" s="23" t="s">
        <v>3</v>
      </c>
      <c r="AB24" s="23" t="s">
        <v>2</v>
      </c>
      <c r="AC24" s="23" t="s">
        <v>862</v>
      </c>
      <c r="AE24" s="23" t="s">
        <v>860</v>
      </c>
      <c r="AF24" s="23" t="s">
        <v>3</v>
      </c>
      <c r="AG24" s="23" t="s">
        <v>2</v>
      </c>
      <c r="AH24" s="23" t="s">
        <v>862</v>
      </c>
      <c r="AJ24" s="23" t="s">
        <v>860</v>
      </c>
      <c r="AK24" s="23" t="s">
        <v>3</v>
      </c>
      <c r="AL24" s="23" t="s">
        <v>2</v>
      </c>
      <c r="AM24" s="23" t="s">
        <v>862</v>
      </c>
    </row>
    <row r="25" spans="2:39" x14ac:dyDescent="0.25">
      <c r="B25" s="2" t="s">
        <v>31</v>
      </c>
      <c r="C25" s="2">
        <v>5</v>
      </c>
      <c r="D25" s="2" t="s">
        <v>856</v>
      </c>
      <c r="E25" s="2">
        <v>2018</v>
      </c>
      <c r="F25" s="2">
        <v>1</v>
      </c>
      <c r="G25" s="2"/>
      <c r="H25" s="19">
        <v>2017</v>
      </c>
      <c r="I25" s="2" t="s">
        <v>2</v>
      </c>
      <c r="K25" s="18">
        <v>2</v>
      </c>
      <c r="L25" s="18">
        <f>COUNTIFS(C3:C793, "2",D3:D793,"JULIO", I3:I793, "HOMBRE")</f>
        <v>1</v>
      </c>
      <c r="M25" s="18">
        <f>COUNTIFS(C3:C793, "2",D3:D793,"JULIO", I3:I793, "MUJER")</f>
        <v>0</v>
      </c>
      <c r="N25" s="18">
        <f>SUM(L25:M25)</f>
        <v>1</v>
      </c>
      <c r="P25" s="18">
        <v>1</v>
      </c>
      <c r="Q25" s="18">
        <f>COUNTIFS(C3:C806, "1",D3:D806,"AGOSTO",I3:I806, "HOMBRE")</f>
        <v>0</v>
      </c>
      <c r="R25" s="18">
        <f>COUNTIFS(C3:C806, "1",D3:D806,"AGOSTO", I3:I806, "MUJER")</f>
        <v>2</v>
      </c>
      <c r="S25" s="18">
        <f>SUM(Q25:R25)</f>
        <v>2</v>
      </c>
      <c r="U25" s="18">
        <v>3</v>
      </c>
      <c r="V25" s="18">
        <f>COUNTIFS(C3:C810, "3",D3:D810,"SEPTIEMBRE",I3:I810, "HOMBRE")</f>
        <v>3</v>
      </c>
      <c r="W25" s="18">
        <f>COUNTIFS(C3:C810, "3",I3:I810,"SEPTIEMBRE", I3:I810, "MUJER")</f>
        <v>0</v>
      </c>
      <c r="X25" s="18">
        <f>SUM(V25:W25)</f>
        <v>3</v>
      </c>
      <c r="Z25" s="18">
        <v>5</v>
      </c>
      <c r="AA25" s="18">
        <f>COUNTIFS(C3:C834, "5",D3:D834,"OCTUBRE",I3:I834, "HOMBRE")</f>
        <v>2</v>
      </c>
      <c r="AB25" s="18">
        <f>COUNTIFS(C3:C834, "5",D3:D834,"OCTUBRE", I3:I834, "MUJER")</f>
        <v>0</v>
      </c>
      <c r="AC25" s="18">
        <f>SUM(AA25:AB25)</f>
        <v>2</v>
      </c>
      <c r="AE25" s="26">
        <v>5</v>
      </c>
      <c r="AF25" s="18">
        <f>COUNTIFS(C3:C842, "5",D3:D842,"NOVIEMBRE",I3:I842, "HOMBRE")</f>
        <v>1</v>
      </c>
      <c r="AG25" s="18">
        <f>COUNTIFS(C3:C842, "5",D3:D842,"OCTUBRE", I3:I842, "MUJER")</f>
        <v>0</v>
      </c>
      <c r="AH25" s="18">
        <f>SUM(AF25:AG25)</f>
        <v>1</v>
      </c>
      <c r="AJ25" s="26">
        <v>3</v>
      </c>
      <c r="AK25" s="18">
        <f>COUNTIFS(C3:C847, "3",D3:D847,"DICIEMBRE",I3:I847, "HOMBRE")</f>
        <v>2</v>
      </c>
      <c r="AL25" s="18">
        <f>COUNTIFS(C3:C847, "3",D3:D847,"DICIEMBRE", I3:I847, "MUJER")</f>
        <v>3</v>
      </c>
      <c r="AM25" s="18">
        <f>SUM(AK25:AL25)</f>
        <v>5</v>
      </c>
    </row>
    <row r="26" spans="2:39" x14ac:dyDescent="0.25">
      <c r="B26" s="2" t="s">
        <v>32</v>
      </c>
      <c r="C26" s="2">
        <v>5</v>
      </c>
      <c r="D26" s="2" t="s">
        <v>856</v>
      </c>
      <c r="E26" s="2">
        <v>2018</v>
      </c>
      <c r="F26" s="2">
        <v>2</v>
      </c>
      <c r="G26" s="2"/>
      <c r="H26" s="19">
        <v>2016</v>
      </c>
      <c r="I26" s="2" t="s">
        <v>2</v>
      </c>
      <c r="K26" s="26">
        <v>3</v>
      </c>
      <c r="L26" s="18">
        <f>COUNTIFS(C3:C793, "3",D3:D793,"JULIO", I3:I793, "HOMBRE")</f>
        <v>1</v>
      </c>
      <c r="M26" s="18">
        <f>COUNTIFS(C3:C793, "3",D3:D793,"JULIO", I3:I793, "MUJER")</f>
        <v>0</v>
      </c>
      <c r="N26" s="18">
        <f t="shared" ref="N26:N39" si="6">SUM(L26:M26)</f>
        <v>1</v>
      </c>
      <c r="P26" s="37">
        <v>2</v>
      </c>
      <c r="Q26" s="18">
        <f>COUNTIFS(C3:C806, "2",D3:D806,"AGOSTO",I3:I806, "HOMBRE")</f>
        <v>1</v>
      </c>
      <c r="R26" s="18">
        <f>COUNTIFS(C3:C806, "2",D3:D806,"AGOSTO", I3:I806, "MUJER")</f>
        <v>0</v>
      </c>
      <c r="S26" s="18">
        <f t="shared" ref="S26:S39" si="7">SUM(Q26:R26)</f>
        <v>1</v>
      </c>
      <c r="U26" s="26">
        <v>4</v>
      </c>
      <c r="V26" s="18">
        <f>COUNTIFS(C3:C810, "4",D3:D810,"SEPTIEMBRE",I3:I810, "HOMBRE")</f>
        <v>0</v>
      </c>
      <c r="W26" s="18">
        <f>COUNTIFS(C3:C810, "4",D3:D810,"SEPTIEMBRE", I3:I810, "MUJER")</f>
        <v>5</v>
      </c>
      <c r="X26" s="18">
        <f t="shared" ref="X26:X36" si="8">SUM(V26:W26)</f>
        <v>5</v>
      </c>
      <c r="Z26" s="26">
        <v>8</v>
      </c>
      <c r="AA26" s="18">
        <f>COUNTIFS(C3:C834, "8",D3:D834,"OCTUBRE",I3:I834, "HOMBRE")</f>
        <v>3</v>
      </c>
      <c r="AB26" s="18">
        <f>COUNTIFS(C3:C834, "8",D3:D834,"OCTUBRE", I3:I834, "MUJER")</f>
        <v>2</v>
      </c>
      <c r="AC26" s="18">
        <f t="shared" ref="AC26:AC34" si="9">SUM(AA26:AB26)</f>
        <v>5</v>
      </c>
      <c r="AE26" s="26">
        <v>6</v>
      </c>
      <c r="AF26" s="18">
        <f>COUNTIFS(C3:C842, "6",D3:D842,"NOVIEMBRE",I3:I842, "HOMBRE")</f>
        <v>0</v>
      </c>
      <c r="AG26" s="18">
        <f>COUNTIFS(C3:C842, "6",D3:D842,"NOVIEMBRE", I3:I842, "MUJER")</f>
        <v>1</v>
      </c>
      <c r="AH26" s="18">
        <f t="shared" ref="AH26:AH36" si="10">SUM(AF26:AG26)</f>
        <v>1</v>
      </c>
      <c r="AJ26" s="26">
        <v>4</v>
      </c>
      <c r="AK26" s="18">
        <f>COUNTIFS(C3:C847, "4",D3:D847,"DICIEMBRE",I3:I847, "HOMBRE")</f>
        <v>1</v>
      </c>
      <c r="AL26" s="18">
        <f>COUNTIFS(C3:C847, "4",D3:D847,"DICIEMBRE", I3:I847, "MUJER")</f>
        <v>0</v>
      </c>
      <c r="AM26" s="18">
        <f t="shared" ref="AM26:AM39" si="11">SUM(AK26:AL26)</f>
        <v>1</v>
      </c>
    </row>
    <row r="27" spans="2:39" x14ac:dyDescent="0.25">
      <c r="B27" s="2" t="s">
        <v>33</v>
      </c>
      <c r="C27" s="2">
        <v>5</v>
      </c>
      <c r="D27" s="2" t="s">
        <v>856</v>
      </c>
      <c r="E27" s="2">
        <v>2018</v>
      </c>
      <c r="F27" s="2">
        <v>21</v>
      </c>
      <c r="G27" s="2"/>
      <c r="H27" s="19">
        <v>2017</v>
      </c>
      <c r="I27" s="2" t="s">
        <v>3</v>
      </c>
      <c r="K27" s="26">
        <v>9</v>
      </c>
      <c r="L27" s="18">
        <f>COUNTIFS(C3:C793, "9",D3:D793,"JULIO", I3:I793, "HOMBRE")</f>
        <v>1</v>
      </c>
      <c r="M27" s="18">
        <f>COUNTIFS(C3:C793, "9",D3:D793,"JULIO", I3:I793, "MUJER")</f>
        <v>0</v>
      </c>
      <c r="N27" s="18">
        <f t="shared" si="6"/>
        <v>1</v>
      </c>
      <c r="P27" s="37">
        <v>3</v>
      </c>
      <c r="Q27" s="18">
        <f>COUNTIFS(C3:C806, "3",D3:D806,"AGOSTO",I3:I806, "HOMBRE")</f>
        <v>1</v>
      </c>
      <c r="R27" s="18">
        <f>COUNTIFS(C3:C806, "3",D3:D806,"AGOSTO", I3:I806, "MUJER")</f>
        <v>0</v>
      </c>
      <c r="S27" s="18">
        <f t="shared" si="7"/>
        <v>1</v>
      </c>
      <c r="U27" s="26">
        <v>6</v>
      </c>
      <c r="V27" s="18">
        <f>COUNTIFS(C3:C810, "6",D3:D810,"SEPTIEMBRE",I3:I810, "HOMBRE")</f>
        <v>1</v>
      </c>
      <c r="W27" s="18">
        <f>COUNTIFS(C3:C810, "6",D3:D810,"SEPTIEMBRE", I3:I810, "MUJER")</f>
        <v>2</v>
      </c>
      <c r="X27" s="18">
        <f t="shared" si="8"/>
        <v>3</v>
      </c>
      <c r="Z27" s="26">
        <v>15</v>
      </c>
      <c r="AA27" s="18">
        <f>COUNTIFS(C3:C834, "15",D3:D834,"OCTUBRE",I3:I834, "HOMBRE")</f>
        <v>3</v>
      </c>
      <c r="AB27" s="18">
        <f>COUNTIFS(C3:C834, "15",D3:D834,"OCTUBRE", I3:I834, "MUJER")</f>
        <v>2</v>
      </c>
      <c r="AC27" s="18">
        <f t="shared" si="9"/>
        <v>5</v>
      </c>
      <c r="AE27" s="26">
        <v>7</v>
      </c>
      <c r="AF27" s="18">
        <f>COUNTIFS(C3:C842, "7",D3:D842,"NOVIEMBRE",I3:I842, "HOMBRE")</f>
        <v>1</v>
      </c>
      <c r="AG27" s="18">
        <f>COUNTIFS(C3:C842, "7",D3:D842,"NOVIEMBRE", I3:I842, "MUJER")</f>
        <v>1</v>
      </c>
      <c r="AH27" s="18">
        <f t="shared" si="10"/>
        <v>2</v>
      </c>
      <c r="AJ27" s="26">
        <v>5</v>
      </c>
      <c r="AK27" s="18">
        <f>COUNTIFS(C3:C847, "5",D3:D847,"DICIEMBRE",I3:I847, "HOMBRE")</f>
        <v>1</v>
      </c>
      <c r="AL27" s="18">
        <f>COUNTIFS(C3:C847, "5",D3:D847,"DICIEMBRE", I3:I847, "MUJER")</f>
        <v>3</v>
      </c>
      <c r="AM27" s="18">
        <f t="shared" si="11"/>
        <v>4</v>
      </c>
    </row>
    <row r="28" spans="2:39" x14ac:dyDescent="0.25">
      <c r="B28" s="2" t="s">
        <v>34</v>
      </c>
      <c r="C28" s="2">
        <v>5</v>
      </c>
      <c r="D28" s="2" t="s">
        <v>856</v>
      </c>
      <c r="E28" s="2">
        <v>2018</v>
      </c>
      <c r="F28" s="2">
        <v>19</v>
      </c>
      <c r="G28" s="2"/>
      <c r="H28" s="19">
        <v>2017</v>
      </c>
      <c r="I28" s="2" t="s">
        <v>3</v>
      </c>
      <c r="K28" s="26">
        <v>10</v>
      </c>
      <c r="L28" s="18">
        <f>COUNTIFS(C3:C793, "10",D3:D793,"JULIO", I3:I793, "HOMBRE")</f>
        <v>3</v>
      </c>
      <c r="M28" s="18">
        <f>COUNTIFS(C3:C793, "10",D3:D793,"JULIO", I3:I793, "MUJER")</f>
        <v>1</v>
      </c>
      <c r="N28" s="18">
        <f t="shared" si="6"/>
        <v>4</v>
      </c>
      <c r="P28" s="37">
        <v>7</v>
      </c>
      <c r="Q28" s="18">
        <f>COUNTIFS(C3:C806, "7",D3:D806,"AGOSTO",I3:I806, "HOMBRE")</f>
        <v>2</v>
      </c>
      <c r="R28" s="18">
        <f>COUNTIFS(C3:C806, "7",D3:D806,"AGOSTO", I3:I806, "MUJER")</f>
        <v>0</v>
      </c>
      <c r="S28" s="18">
        <f t="shared" si="7"/>
        <v>2</v>
      </c>
      <c r="U28" s="26">
        <v>13</v>
      </c>
      <c r="V28" s="18">
        <f>COUNTIFS(C3:C810, "13",D3:D810,"SEPTIEMBRE",I3:I810, "HOMBRE")</f>
        <v>0</v>
      </c>
      <c r="W28" s="18">
        <f>COUNTIFS(C3:C810, "13",D3:D810,"SEPTIEMBRE", I3:I810, "MUJER")</f>
        <v>3</v>
      </c>
      <c r="X28" s="18">
        <f t="shared" si="8"/>
        <v>3</v>
      </c>
      <c r="Z28" s="26">
        <v>16</v>
      </c>
      <c r="AA28" s="18">
        <f>COUNTIFS(C3:C834, "16",D3:D834,"OCTUBRE",I3:I834, "HOMBRE")</f>
        <v>10</v>
      </c>
      <c r="AB28" s="18">
        <f>COUNTIFS(C3:C834, "16",D3:D834,"OCTUBRE", I3:I834, "MUJER")</f>
        <v>6</v>
      </c>
      <c r="AC28" s="18">
        <f t="shared" si="9"/>
        <v>16</v>
      </c>
      <c r="AE28" s="26">
        <v>8</v>
      </c>
      <c r="AF28" s="18">
        <f>COUNTIFS(C3:C842, "8",D3:D842,"NOVIEMBRE",I3:I842, "HOMBRE")</f>
        <v>1</v>
      </c>
      <c r="AG28" s="18">
        <f>COUNTIFS(C3:C842, "8",D3:D842,"NOVIEMBRE", I3:I842, "MUJER")</f>
        <v>0</v>
      </c>
      <c r="AH28" s="18">
        <f t="shared" si="10"/>
        <v>1</v>
      </c>
      <c r="AJ28" s="26">
        <v>7</v>
      </c>
      <c r="AK28" s="18">
        <f>COUNTIFS(C3:C847, "7",D3:D847,"DICIEMBRE",I3:I847, "HOMBRE")</f>
        <v>1</v>
      </c>
      <c r="AL28" s="18">
        <f>COUNTIFS(C3:C847, "7",D3:D847,"DICIEMBRE", I3:I847, "MUJER")</f>
        <v>3</v>
      </c>
      <c r="AM28" s="18">
        <f t="shared" si="11"/>
        <v>4</v>
      </c>
    </row>
    <row r="29" spans="2:39" x14ac:dyDescent="0.25">
      <c r="B29" s="2" t="s">
        <v>35</v>
      </c>
      <c r="C29" s="2">
        <v>5</v>
      </c>
      <c r="D29" s="2" t="s">
        <v>856</v>
      </c>
      <c r="E29" s="2">
        <v>2018</v>
      </c>
      <c r="F29" s="2">
        <v>31</v>
      </c>
      <c r="G29" s="2"/>
      <c r="H29" s="19">
        <v>2017</v>
      </c>
      <c r="I29" s="2" t="s">
        <v>2</v>
      </c>
      <c r="K29" s="26">
        <v>12</v>
      </c>
      <c r="L29" s="18">
        <f>COUNTIFS(C3:C793, "12",D3:D793,"JULIO", I3:I793, "HOMBRE")</f>
        <v>1</v>
      </c>
      <c r="M29" s="18">
        <f>COUNTIFS(C3:C793, "12",D3:D793,"JULIO", I3:I793, "MUJER")</f>
        <v>1</v>
      </c>
      <c r="N29" s="18">
        <f t="shared" si="6"/>
        <v>2</v>
      </c>
      <c r="P29" s="37">
        <v>10</v>
      </c>
      <c r="Q29" s="18">
        <f>COUNTIFS(C3:C806, "10",D3:D806,"AGOSTO",I3:I806, "HOMBRE")</f>
        <v>1</v>
      </c>
      <c r="R29" s="18">
        <f>COUNTIFS(C3:C806, "10",D3:D806,"AGOSTO", I3:I806, "MUJER")</f>
        <v>1</v>
      </c>
      <c r="S29" s="18">
        <f t="shared" si="7"/>
        <v>2</v>
      </c>
      <c r="U29" s="26">
        <v>14</v>
      </c>
      <c r="V29" s="18">
        <f>COUNTIFS(C3:C810, "14",D3:D810,"SEPTIEMBRE",I3:I810, "HOMBRE")</f>
        <v>1</v>
      </c>
      <c r="W29" s="18">
        <f>COUNTIFS(C3:C810, "14",D3:D810,"SEPTIEMBRE", I3:I810, "MUJER")</f>
        <v>0</v>
      </c>
      <c r="X29" s="18">
        <f t="shared" si="8"/>
        <v>1</v>
      </c>
      <c r="Z29" s="26">
        <v>17</v>
      </c>
      <c r="AA29" s="18">
        <f>COUNTIFS(C3:C834, "17",D3:D834,"OCTUBRE",I3:I834, "HOMBRE")</f>
        <v>15</v>
      </c>
      <c r="AB29" s="18">
        <f>COUNTIFS(C3:C834, "17",D3:D834,"OCTUBRE", I3:I834, "MUJER")</f>
        <v>9</v>
      </c>
      <c r="AC29" s="18">
        <f t="shared" si="9"/>
        <v>24</v>
      </c>
      <c r="AE29" s="26">
        <v>9</v>
      </c>
      <c r="AF29" s="18">
        <f>COUNTIFS(C3:C842, "9",D3:D842,"NOVIEMBRE",I3:I842, "HOMBRE")</f>
        <v>1</v>
      </c>
      <c r="AG29" s="18">
        <f>COUNTIFS(C3:C842, "9",D3:D842,"NOVIEMBRE", I3:I842, "MUJER")</f>
        <v>0</v>
      </c>
      <c r="AH29" s="18">
        <f t="shared" si="10"/>
        <v>1</v>
      </c>
      <c r="AJ29" s="26">
        <v>10</v>
      </c>
      <c r="AK29" s="18">
        <f>COUNTIFS(C3:C847, "10",D3:D847,"DICIEMBRE",I3:I847, "HOMBRE")</f>
        <v>2</v>
      </c>
      <c r="AL29" s="18">
        <f>COUNTIFS(C3:C847, "10",D3:D847,"DICIEMBRE", I3:I847, "MUJER")</f>
        <v>1</v>
      </c>
      <c r="AM29" s="18">
        <f t="shared" si="11"/>
        <v>3</v>
      </c>
    </row>
    <row r="30" spans="2:39" x14ac:dyDescent="0.25">
      <c r="B30" s="2" t="s">
        <v>36</v>
      </c>
      <c r="C30" s="2">
        <v>5</v>
      </c>
      <c r="D30" s="2" t="s">
        <v>856</v>
      </c>
      <c r="E30" s="2">
        <v>2018</v>
      </c>
      <c r="F30" s="2">
        <v>28</v>
      </c>
      <c r="G30" s="2"/>
      <c r="H30" s="19">
        <v>2017</v>
      </c>
      <c r="I30" s="2" t="s">
        <v>3</v>
      </c>
      <c r="K30" s="26">
        <v>13</v>
      </c>
      <c r="L30" s="18">
        <f>COUNTIFS(C3:C793, "13",D3:D793,"JULIO", I3:I793, "HOMBRE")</f>
        <v>1</v>
      </c>
      <c r="M30" s="18">
        <f>COUNTIFS(C3:C793, "13",D3:D793,"JULIO", I3:I793, "MUJER")</f>
        <v>2</v>
      </c>
      <c r="N30" s="18">
        <f t="shared" si="6"/>
        <v>3</v>
      </c>
      <c r="P30" s="37">
        <v>14</v>
      </c>
      <c r="Q30" s="18">
        <f>COUNTIFS(C3:C806, "14",D3:D806,"AGOSTO",I3:I806, "HOMBRE")</f>
        <v>3</v>
      </c>
      <c r="R30" s="18">
        <f>COUNTIFS(C3:C806, "14",D3:D806,"AGOSTO", I3:I806, "MUJER")</f>
        <v>2</v>
      </c>
      <c r="S30" s="18">
        <f t="shared" si="7"/>
        <v>5</v>
      </c>
      <c r="U30" s="26">
        <v>17</v>
      </c>
      <c r="V30" s="18">
        <f>COUNTIFS(C3:C810, "17",D3:D810,"SEPTIEMBRE",I3:I810, "HOMBRE")</f>
        <v>4</v>
      </c>
      <c r="W30" s="18">
        <f>COUNTIFS(C3:C810, "17",D3:D810,"SEPTIEMBRE", I3:I810, "MUJER")</f>
        <v>1</v>
      </c>
      <c r="X30" s="18">
        <f t="shared" si="8"/>
        <v>5</v>
      </c>
      <c r="Z30" s="26">
        <v>25</v>
      </c>
      <c r="AA30" s="18">
        <f>COUNTIFS(C3:C834, "25",D3:D834,"OCTUBRE",I3:I834, "HOMBRE")</f>
        <v>2</v>
      </c>
      <c r="AB30" s="18">
        <f>COUNTIFS(C3:C834, "25",D3:D834,"OCTUBRE", I3:I834, "MUJER")</f>
        <v>3</v>
      </c>
      <c r="AC30" s="18">
        <f t="shared" si="9"/>
        <v>5</v>
      </c>
      <c r="AE30" s="26">
        <v>12</v>
      </c>
      <c r="AF30" s="18">
        <f>COUNTIFS(C3:C842, "12",D3:D842,"NOVIEMBRE",I3:I842, "HOMBRE")</f>
        <v>2</v>
      </c>
      <c r="AG30" s="18">
        <f>COUNTIFS(C3:C842, "12",D3:D842,"NOVIEMBRE", I3:I842, "MUJER")</f>
        <v>0</v>
      </c>
      <c r="AH30" s="18">
        <f t="shared" si="10"/>
        <v>2</v>
      </c>
      <c r="AJ30" s="26">
        <v>12</v>
      </c>
      <c r="AK30" s="18">
        <f>COUNTIFS(C3:C847, "12",D3:D847,"DICIEMBRE",I3:I847, "HOMBRE")</f>
        <v>1</v>
      </c>
      <c r="AL30" s="18">
        <f>COUNTIFS(C3:C847, "12",D3:D847,"DICIEMBRE", I8:I852, "MUJER")</f>
        <v>1</v>
      </c>
      <c r="AM30" s="18">
        <f t="shared" si="11"/>
        <v>2</v>
      </c>
    </row>
    <row r="31" spans="2:39" x14ac:dyDescent="0.25">
      <c r="B31" s="2" t="s">
        <v>37</v>
      </c>
      <c r="C31" s="2">
        <v>5</v>
      </c>
      <c r="D31" s="2" t="s">
        <v>856</v>
      </c>
      <c r="E31" s="2">
        <v>2018</v>
      </c>
      <c r="F31" s="2">
        <v>29</v>
      </c>
      <c r="G31" s="2"/>
      <c r="H31" s="19">
        <v>2017</v>
      </c>
      <c r="I31" s="2" t="s">
        <v>2</v>
      </c>
      <c r="K31" s="26">
        <v>16</v>
      </c>
      <c r="L31" s="18">
        <f>COUNTIFS(C3:C793, "16",D3:D793,"JULIO", I3:I793, "HOMBRE")</f>
        <v>3</v>
      </c>
      <c r="M31" s="18">
        <f>COUNTIFS(C3:C793, "16",D3:D793,"JULIO", I3:I793, "MUJER")</f>
        <v>1</v>
      </c>
      <c r="N31" s="18">
        <f t="shared" si="6"/>
        <v>4</v>
      </c>
      <c r="P31" s="37">
        <v>15</v>
      </c>
      <c r="Q31" s="18">
        <f>COUNTIFS(C3:C806, "15",D3:D806,"AGOSTO",I3:I806, "HOMBRE")</f>
        <v>3</v>
      </c>
      <c r="R31" s="18">
        <f>COUNTIFS(C3:C806,"15",D3:D806,"AGOSTO", I3:I806, "MUJER")</f>
        <v>1</v>
      </c>
      <c r="S31" s="18">
        <f t="shared" si="7"/>
        <v>4</v>
      </c>
      <c r="U31" s="26">
        <v>18</v>
      </c>
      <c r="V31" s="18">
        <f>COUNTIFS(C3:C810, "18",D3:D810,"SEPTIEMBRE",I3:I810, "HOMBRE")</f>
        <v>0</v>
      </c>
      <c r="W31" s="18">
        <f>COUNTIFS(C3:C810, "18",D3:D810,"SEPTIEMBRE", I3:I810, "MUJER")</f>
        <v>1</v>
      </c>
      <c r="X31" s="18">
        <f t="shared" si="8"/>
        <v>1</v>
      </c>
      <c r="Z31" s="26">
        <v>26</v>
      </c>
      <c r="AA31" s="18">
        <f>COUNTIFS(C3:C834, "26",D3:D834,"OCTUBRE",I3:I834, "HOMBRE")</f>
        <v>3</v>
      </c>
      <c r="AB31" s="18">
        <f>COUNTIFS(C3:C834, "26",D3:D834,"OCTUBRE", I3:I834, "MUJER")</f>
        <v>2</v>
      </c>
      <c r="AC31" s="18">
        <f t="shared" si="9"/>
        <v>5</v>
      </c>
      <c r="AE31" s="26">
        <v>13</v>
      </c>
      <c r="AF31" s="18">
        <f>COUNTIFS(C3:C842, "13",D3:D842,"NOVIEMBRE",I3:I842, "HOMBRE")</f>
        <v>2</v>
      </c>
      <c r="AG31" s="18">
        <f>COUNTIFS(C3:C842, "13",D3:D842,"NOVIEMBRE", I3:I842, "MUJER")</f>
        <v>1</v>
      </c>
      <c r="AH31" s="18">
        <f t="shared" si="10"/>
        <v>3</v>
      </c>
      <c r="AJ31" s="26">
        <v>13</v>
      </c>
      <c r="AK31" s="18">
        <f>COUNTIFS(C3:C847, "13",D3:D847,"DICIEMBRE",I3:I847, "HOMBRE")</f>
        <v>2</v>
      </c>
      <c r="AL31" s="18">
        <f>COUNTIFS(C3:C847, "13",D3:D847,"DICIEMBRE", I3:I847, "MUJER")</f>
        <v>1</v>
      </c>
      <c r="AM31" s="18">
        <f t="shared" si="11"/>
        <v>3</v>
      </c>
    </row>
    <row r="32" spans="2:39" x14ac:dyDescent="0.25">
      <c r="B32" s="2" t="s">
        <v>38</v>
      </c>
      <c r="C32" s="2">
        <v>5</v>
      </c>
      <c r="D32" s="2" t="s">
        <v>856</v>
      </c>
      <c r="E32" s="2">
        <v>2018</v>
      </c>
      <c r="F32" s="2">
        <v>28</v>
      </c>
      <c r="G32" s="2"/>
      <c r="H32" s="19">
        <v>2017</v>
      </c>
      <c r="I32" s="2" t="s">
        <v>3</v>
      </c>
      <c r="K32" s="26">
        <v>20</v>
      </c>
      <c r="L32" s="18">
        <f>COUNTIFS(C3:C793, "20",D3:D793,"JULIO", I3:I793, "HOMBRE")</f>
        <v>2</v>
      </c>
      <c r="M32" s="18">
        <f>COUNTIFS(C3:C793, "20",D3:D793,"JULIO", I3:I793, "MUJER")</f>
        <v>3</v>
      </c>
      <c r="N32" s="18">
        <f t="shared" si="6"/>
        <v>5</v>
      </c>
      <c r="P32" s="37">
        <v>22</v>
      </c>
      <c r="Q32" s="18">
        <f>COUNTIFS(C3:C806, "22",D3:D806,"AGOSTO",I3:I806, "HOMBRE")</f>
        <v>0</v>
      </c>
      <c r="R32" s="18">
        <f>COUNTIFS(C3:C806, "22",D3:D806,"AGOSTO", I3:I806, "MUJER")</f>
        <v>2</v>
      </c>
      <c r="S32" s="18">
        <f t="shared" si="7"/>
        <v>2</v>
      </c>
      <c r="U32" s="26">
        <v>19</v>
      </c>
      <c r="V32" s="18">
        <f>COUNTIFS(C3:C810, "19",D3:D810,"SEPTIEMBRE",I3:I810, "HOMBRE")</f>
        <v>4</v>
      </c>
      <c r="W32" s="18">
        <f>COUNTIFS(C3:C810, "19",D3:D810,"SEPTIEMBRE", I3:I810, "MUJER")</f>
        <v>0</v>
      </c>
      <c r="X32" s="18">
        <f t="shared" si="8"/>
        <v>4</v>
      </c>
      <c r="Z32" s="26">
        <v>29</v>
      </c>
      <c r="AA32" s="18">
        <f>COUNTIFS(C3:C834, "29",D3:D834,"OCTUBRE",I3:I834, "HOMBRE")</f>
        <v>1</v>
      </c>
      <c r="AB32" s="18">
        <f>COUNTIFS(C3:C834, "29",D3:D834,"OCTUBRE", I3:I834, "MUJER")</f>
        <v>4</v>
      </c>
      <c r="AC32" s="18">
        <f t="shared" si="9"/>
        <v>5</v>
      </c>
      <c r="AE32" s="26">
        <v>20</v>
      </c>
      <c r="AF32" s="18">
        <f>COUNTIFS(C3:C842, "20",D3:D842,"NOVIEMBRE",I3:I842, "HOMBRE")</f>
        <v>3</v>
      </c>
      <c r="AG32" s="18">
        <f>COUNTIFS(C3:C842, "20",D3:D842,"NOVIEMBRE", I3:I842, "MUJER")</f>
        <v>0</v>
      </c>
      <c r="AH32" s="18">
        <f t="shared" si="10"/>
        <v>3</v>
      </c>
      <c r="AJ32" s="26">
        <v>14</v>
      </c>
      <c r="AK32" s="18">
        <f>COUNTIFS(C3:C847, "14",D3:D847,"DICIEMBRE",I3:I847, "HOMBRE")</f>
        <v>1</v>
      </c>
      <c r="AL32" s="18">
        <f>COUNTIFS(C3:C847, "14",D3:D847,"DICIEMBRE", I3:I847, "MUJER")</f>
        <v>1</v>
      </c>
      <c r="AM32" s="18">
        <f t="shared" si="11"/>
        <v>2</v>
      </c>
    </row>
    <row r="33" spans="2:39" x14ac:dyDescent="0.25">
      <c r="B33" s="2" t="s">
        <v>39</v>
      </c>
      <c r="C33" s="2">
        <v>5</v>
      </c>
      <c r="D33" s="2" t="s">
        <v>856</v>
      </c>
      <c r="E33" s="2">
        <v>2018</v>
      </c>
      <c r="F33" s="2">
        <v>25</v>
      </c>
      <c r="G33" s="2"/>
      <c r="H33" s="19">
        <v>2017</v>
      </c>
      <c r="I33" s="2" t="s">
        <v>2</v>
      </c>
      <c r="K33" s="26">
        <v>23</v>
      </c>
      <c r="L33" s="18">
        <f>COUNTIFS(C3:C793, "23",D3:D793,"JULIO", I3:I793, "HOMBRE")</f>
        <v>4</v>
      </c>
      <c r="M33" s="18">
        <f>COUNTIFS(C3:C793, "23",D3:D793,"JULIO", I3:I793, "MUJER")</f>
        <v>3</v>
      </c>
      <c r="N33" s="18">
        <f t="shared" si="6"/>
        <v>7</v>
      </c>
      <c r="P33" s="37">
        <v>23</v>
      </c>
      <c r="Q33" s="18">
        <f>COUNTIFS(C3:C806, "23",D3:D806,"AGOSTO",I3:I806, "HOMBRE")</f>
        <v>3</v>
      </c>
      <c r="R33" s="18">
        <f>COUNTIFS(C3:C806, "23",D3:D806,"AGOSTO", I3:I806, "MUJER")</f>
        <v>1</v>
      </c>
      <c r="S33" s="18">
        <f t="shared" si="7"/>
        <v>4</v>
      </c>
      <c r="U33" s="26">
        <v>20</v>
      </c>
      <c r="V33" s="18">
        <f>COUNTIFS(C3:C810, "20",D3:D810,"SEPTIEMBRE",I3:I810, "HOMBRE")</f>
        <v>2</v>
      </c>
      <c r="W33" s="18">
        <f>COUNTIFS(C3:C810, "20",D3:D810,"SEPTIEMBRE", I3:I810, "MUJER")</f>
        <v>4</v>
      </c>
      <c r="X33" s="18">
        <f t="shared" si="8"/>
        <v>6</v>
      </c>
      <c r="Z33" s="26">
        <v>30</v>
      </c>
      <c r="AA33" s="18">
        <f>COUNTIFS(C3:C834, "30",D3:D834,"OCTUBRE",I3:I834, "HOMBRE")</f>
        <v>1</v>
      </c>
      <c r="AB33" s="18">
        <f>COUNTIFS(C3:C834, "30",D3:D834,"OCTUBRE", I3:I834, "MUJER")</f>
        <v>1</v>
      </c>
      <c r="AC33" s="18">
        <f t="shared" si="9"/>
        <v>2</v>
      </c>
      <c r="AE33" s="26">
        <v>22</v>
      </c>
      <c r="AF33" s="18">
        <f>COUNTIFS(C3:C842, "22",D3:D842,"NOVIEMBRE",I3:I842, "HOMBRE")</f>
        <v>3</v>
      </c>
      <c r="AG33" s="18">
        <f>COUNTIFS(C3:C842, "22",D3:D842,"NOVIEMBRE", I3:I842, "MUJER")</f>
        <v>1</v>
      </c>
      <c r="AH33" s="18">
        <f t="shared" si="10"/>
        <v>4</v>
      </c>
      <c r="AJ33" s="26">
        <v>17</v>
      </c>
      <c r="AK33" s="18">
        <f>COUNTIFS(C3:C847, "17",D3:D847,"DICIEMBRE",I3:I847, "HOMBRE")</f>
        <v>1</v>
      </c>
      <c r="AL33" s="18">
        <f>COUNTIFS(C3:C847, "17",D3:D847,"DICIEMBRE", I3:I847, "MUJER")</f>
        <v>0</v>
      </c>
      <c r="AM33" s="18">
        <f t="shared" si="11"/>
        <v>1</v>
      </c>
    </row>
    <row r="34" spans="2:39" x14ac:dyDescent="0.25">
      <c r="B34" s="2" t="s">
        <v>40</v>
      </c>
      <c r="C34" s="2">
        <v>5</v>
      </c>
      <c r="D34" s="2" t="s">
        <v>856</v>
      </c>
      <c r="E34" s="2">
        <v>2018</v>
      </c>
      <c r="F34" s="2">
        <v>26</v>
      </c>
      <c r="G34" s="2"/>
      <c r="H34" s="19">
        <v>2017</v>
      </c>
      <c r="I34" s="2" t="s">
        <v>2</v>
      </c>
      <c r="K34" s="26">
        <v>24</v>
      </c>
      <c r="L34" s="18">
        <f>COUNTIFS(C3:C793, "24",D3:D793,"JULIO", I3:I793, "HOMBRE")</f>
        <v>3</v>
      </c>
      <c r="M34" s="18">
        <f>COUNTIFS(C3:C793, "24",D3:D793,"JULIO", I3:I793, "MUJER")</f>
        <v>4</v>
      </c>
      <c r="N34" s="18">
        <f t="shared" si="6"/>
        <v>7</v>
      </c>
      <c r="P34" s="37">
        <v>24</v>
      </c>
      <c r="Q34" s="18">
        <f>COUNTIFS(C3:C806, "24",D3:D806,"AGOSTO",I3:I806, "HOMBRE")</f>
        <v>0</v>
      </c>
      <c r="R34" s="18">
        <f>COUNTIFS(C3:C806, "24",D3:D806,"AGOSTO", I3:I806, "MUJER")</f>
        <v>1</v>
      </c>
      <c r="S34" s="18">
        <f t="shared" si="7"/>
        <v>1</v>
      </c>
      <c r="U34" s="26">
        <v>24</v>
      </c>
      <c r="V34" s="18">
        <f>COUNTIFS(C3:C810, "24",D3:D810,"SEPTIEMBRE",I3:I810, "HOMBRE")</f>
        <v>1</v>
      </c>
      <c r="W34" s="18">
        <f>COUNTIFS(C3:C810, "24",D3:D810,"SEPTIEMBRE", I3:I810, "MUJER")</f>
        <v>2</v>
      </c>
      <c r="X34" s="18">
        <f t="shared" si="8"/>
        <v>3</v>
      </c>
      <c r="Z34" s="26">
        <v>31</v>
      </c>
      <c r="AA34" s="18">
        <f>COUNTIFS(C3:C834, "31",D3:D834,"OCTUBRE",I3:I834, "HOMBRE")</f>
        <v>0</v>
      </c>
      <c r="AB34" s="18">
        <f>COUNTIFS(C3:C834, "31",D3:D834,"OCTUBRE", I3:I834, "MUJER")</f>
        <v>1</v>
      </c>
      <c r="AC34" s="18">
        <f t="shared" si="9"/>
        <v>1</v>
      </c>
      <c r="AE34" s="26">
        <v>26</v>
      </c>
      <c r="AF34" s="18">
        <f>COUNTIFS(C3:C842, "26",D3:D842,"NOVIEMBRE",I3:I842, "HOMBRE")</f>
        <v>2</v>
      </c>
      <c r="AG34" s="18">
        <f>COUNTIFS(C3:C842, "26",D3:D842,"NOVIEMBRE", I3:I842, "MUJER")</f>
        <v>0</v>
      </c>
      <c r="AH34" s="18">
        <f t="shared" si="10"/>
        <v>2</v>
      </c>
      <c r="AJ34" s="26">
        <v>18</v>
      </c>
      <c r="AK34" s="18">
        <f>COUNTIFS(C3:C847, "18",D3:D847,"DICIEMBRE",I3:I847, "HOMBRE")</f>
        <v>0</v>
      </c>
      <c r="AL34" s="18">
        <f>COUNTIFS(C3:C847, "18",D3:D847,"DICIEMBRE", I3:I847, "MUJER")</f>
        <v>1</v>
      </c>
      <c r="AM34" s="18">
        <f t="shared" si="11"/>
        <v>1</v>
      </c>
    </row>
    <row r="35" spans="2:39" x14ac:dyDescent="0.25">
      <c r="B35" s="2" t="s">
        <v>41</v>
      </c>
      <c r="C35" s="2">
        <v>5</v>
      </c>
      <c r="D35" s="2" t="s">
        <v>856</v>
      </c>
      <c r="E35" s="2">
        <v>2018</v>
      </c>
      <c r="F35" s="2">
        <v>27</v>
      </c>
      <c r="G35" s="2"/>
      <c r="H35" s="19">
        <v>2017</v>
      </c>
      <c r="I35" s="2" t="s">
        <v>2</v>
      </c>
      <c r="K35" s="26">
        <v>25</v>
      </c>
      <c r="L35" s="18">
        <f>COUNTIFS(C3:C793, "25",D3:D793,"JULIO", I3:I793, "HOMBRE")</f>
        <v>1</v>
      </c>
      <c r="M35" s="18">
        <f>COUNTIFS(C3:C793, "25",D3:D793,"JULIO", I3:I793, "MUJER")</f>
        <v>1</v>
      </c>
      <c r="N35" s="18">
        <f t="shared" si="6"/>
        <v>2</v>
      </c>
      <c r="P35" s="37">
        <v>27</v>
      </c>
      <c r="Q35" s="18">
        <f>COUNTIFS(C3:C806, "27",D3:D806,"AGOSTO",I3:I806, "HOMBRE")</f>
        <v>2</v>
      </c>
      <c r="R35" s="18">
        <f>COUNTIFS(C3:C806, "27",D3:D806,"AGOSTO", I3:I806, "MUJER")</f>
        <v>3</v>
      </c>
      <c r="S35" s="18">
        <f t="shared" si="7"/>
        <v>5</v>
      </c>
      <c r="U35" s="26">
        <v>27</v>
      </c>
      <c r="V35" s="18">
        <f>COUNTIFS(C3:C810, "27",D3:D810,"SEPTIEMBRE",I3:I810, "HOMBRE")</f>
        <v>1</v>
      </c>
      <c r="W35" s="18">
        <f>COUNTIFS(C3:C810, "27",D3:D810,"SEPTIEMBRE", I3:I810, "MUJER")</f>
        <v>2</v>
      </c>
      <c r="X35" s="18">
        <f t="shared" si="8"/>
        <v>3</v>
      </c>
      <c r="Z35" s="46" t="s">
        <v>871</v>
      </c>
      <c r="AA35" s="46"/>
      <c r="AB35" s="46"/>
      <c r="AC35" s="25">
        <f>SUM(AC25:AC34)</f>
        <v>70</v>
      </c>
      <c r="AE35" s="26">
        <v>28</v>
      </c>
      <c r="AF35" s="18">
        <f>COUNTIFS(C3:C842, "28",D3:D842,"NOVIEMBRE",I3:I842, "HOMBRE")</f>
        <v>1</v>
      </c>
      <c r="AG35" s="18">
        <f>COUNTIFS(C3:C842, "28",D3:D842,"NOVIEMBRE", I3:I842, "MUJER")</f>
        <v>1</v>
      </c>
      <c r="AH35" s="18">
        <f t="shared" si="10"/>
        <v>2</v>
      </c>
      <c r="AJ35" s="26">
        <v>19</v>
      </c>
      <c r="AK35" s="18">
        <f>COUNTIFS(C3:C847, "19",D3:D847,"DICIEMBRE",I3:I847, "HOMBRE")</f>
        <v>3</v>
      </c>
      <c r="AL35" s="18">
        <f>COUNTIFS(C3:C847, "19",D3:D847,"DICIEMBRE", I3:I847, "MUJER")</f>
        <v>1</v>
      </c>
      <c r="AM35" s="18">
        <f t="shared" si="11"/>
        <v>4</v>
      </c>
    </row>
    <row r="36" spans="2:39" x14ac:dyDescent="0.25">
      <c r="B36" s="2" t="s">
        <v>42</v>
      </c>
      <c r="C36" s="2">
        <v>5</v>
      </c>
      <c r="D36" s="2" t="s">
        <v>856</v>
      </c>
      <c r="E36" s="2">
        <v>2018</v>
      </c>
      <c r="F36" s="2">
        <v>8</v>
      </c>
      <c r="G36" s="2"/>
      <c r="H36" s="19">
        <v>2017</v>
      </c>
      <c r="I36" s="2" t="s">
        <v>2</v>
      </c>
      <c r="K36" s="26">
        <v>26</v>
      </c>
      <c r="L36" s="18">
        <f>COUNTIFS(C3:C793, "26",D3:D793,"JULIO", I3:I793, "HOMBRE")</f>
        <v>1</v>
      </c>
      <c r="M36" s="18">
        <f>COUNTIFS(C3:C793, "26",D3:D793,"JULIO", I3:I793, "MUJER")</f>
        <v>3</v>
      </c>
      <c r="N36" s="18">
        <f t="shared" si="6"/>
        <v>4</v>
      </c>
      <c r="P36" s="37">
        <v>28</v>
      </c>
      <c r="Q36" s="18">
        <f>COUNTIFS(C3:C806, "28",D3:D806,"AGOSTO",I3:I806, "HOMBRE")</f>
        <v>1</v>
      </c>
      <c r="R36" s="18">
        <f>COUNTIFS(C3:C806, "28",D3:D806,"AGOSTO", I3:I806, "MUJER")</f>
        <v>2</v>
      </c>
      <c r="S36" s="18">
        <f t="shared" si="7"/>
        <v>3</v>
      </c>
      <c r="U36" s="26">
        <v>28</v>
      </c>
      <c r="V36" s="18">
        <f>COUNTIFS(C3:C810, "28",D3:D810,"SEPTIEMBRE",I3:I810, "HOMBRE")</f>
        <v>5</v>
      </c>
      <c r="W36" s="18">
        <f>COUNTIFS(C3:C810, "28",D3:D810,"SEPTIEMBRE", I3:I810, "MUJER")</f>
        <v>1</v>
      </c>
      <c r="X36" s="18">
        <f t="shared" si="8"/>
        <v>6</v>
      </c>
      <c r="AE36" s="26">
        <v>30</v>
      </c>
      <c r="AF36" s="18">
        <f>COUNTIFS(C3:C842, "30",D3:D842,"NOVIEMBRE",I3:I842, "HOMBRE")</f>
        <v>1</v>
      </c>
      <c r="AG36" s="18">
        <f>COUNTIFS(C3:C842, "30",D3:D842,"NOVIEMBRE", I3:I842, "MUJER")</f>
        <v>2</v>
      </c>
      <c r="AH36" s="18">
        <f t="shared" si="10"/>
        <v>3</v>
      </c>
      <c r="AJ36" s="26">
        <v>21</v>
      </c>
      <c r="AK36" s="18">
        <f>COUNTIFS(C3:C847, "21",D3:D847,"DICIEMBRE",I3:I847, "HOMBRE")</f>
        <v>1</v>
      </c>
      <c r="AL36" s="18">
        <f>COUNTIFS(C3:C847, "21",D3:D847,"DICIEMBRE", I3:I847, "MUJER")</f>
        <v>3</v>
      </c>
      <c r="AM36" s="18">
        <f t="shared" si="11"/>
        <v>4</v>
      </c>
    </row>
    <row r="37" spans="2:39" x14ac:dyDescent="0.25">
      <c r="B37" s="2" t="s">
        <v>43</v>
      </c>
      <c r="C37" s="2">
        <v>5</v>
      </c>
      <c r="D37" s="2" t="s">
        <v>856</v>
      </c>
      <c r="E37" s="2">
        <v>2018</v>
      </c>
      <c r="F37" s="2">
        <v>1</v>
      </c>
      <c r="G37" s="2"/>
      <c r="H37" s="19">
        <v>2017</v>
      </c>
      <c r="I37" s="2" t="s">
        <v>3</v>
      </c>
      <c r="K37" s="26">
        <v>27</v>
      </c>
      <c r="L37" s="18">
        <f>COUNTIFS(C3:C793, "27",D3:D793,"JULIO", I3:I793, "HOMBRE")</f>
        <v>2</v>
      </c>
      <c r="M37" s="18">
        <f>COUNTIFS(C3:C793, "27",D3:D793,"JULIO", I3:I793, "MUJER")</f>
        <v>3</v>
      </c>
      <c r="N37" s="18">
        <f t="shared" si="6"/>
        <v>5</v>
      </c>
      <c r="P37" s="37">
        <v>29</v>
      </c>
      <c r="Q37" s="18">
        <f>COUNTIFS(C3:C806, "29",D3:D806,"AGOSTO",I3:I806, "HOMBRE")</f>
        <v>0</v>
      </c>
      <c r="R37" s="18">
        <f>COUNTIFS(C3:C806, "29",D3:D806,"AGOSTO", I3:I806, "MUJER")</f>
        <v>1</v>
      </c>
      <c r="S37" s="18">
        <f t="shared" si="7"/>
        <v>1</v>
      </c>
      <c r="U37" s="46" t="s">
        <v>871</v>
      </c>
      <c r="V37" s="46"/>
      <c r="W37" s="46"/>
      <c r="X37" s="25">
        <f>SUM(X25:X36)</f>
        <v>43</v>
      </c>
      <c r="AE37" s="46" t="s">
        <v>871</v>
      </c>
      <c r="AF37" s="46"/>
      <c r="AG37" s="46"/>
      <c r="AH37" s="25">
        <f>SUM(AH25:AH36)</f>
        <v>25</v>
      </c>
      <c r="AJ37" s="26">
        <v>26</v>
      </c>
      <c r="AK37" s="18">
        <f>COUNTIFS(C3:C847, "26",D3:D847,"DICIEMBRE",I3:I847, "HOMBRE")</f>
        <v>0</v>
      </c>
      <c r="AL37" s="18">
        <f>COUNTIFS(C3:C847, "26",D3:D847,"DICIEMBRE", I3:I847, "MUJER")</f>
        <v>2</v>
      </c>
      <c r="AM37" s="18">
        <f t="shared" si="11"/>
        <v>2</v>
      </c>
    </row>
    <row r="38" spans="2:39" x14ac:dyDescent="0.25">
      <c r="B38" s="2" t="s">
        <v>44</v>
      </c>
      <c r="C38" s="2">
        <v>5</v>
      </c>
      <c r="D38" s="2" t="s">
        <v>856</v>
      </c>
      <c r="E38" s="2">
        <v>2018</v>
      </c>
      <c r="F38" s="2">
        <v>8</v>
      </c>
      <c r="G38" s="2"/>
      <c r="H38" s="19">
        <v>2014</v>
      </c>
      <c r="I38" s="2" t="s">
        <v>2</v>
      </c>
      <c r="K38" s="26">
        <v>30</v>
      </c>
      <c r="L38" s="18">
        <f>COUNTIFS(C3:C793, "30",D3:D793,"JULIO", I3:I793, "HOMBRE")</f>
        <v>1</v>
      </c>
      <c r="M38" s="18">
        <f>COUNTIFS(C3:C793, "30",D3:D793,"JULIO", I3:I793, "MUJER")</f>
        <v>2</v>
      </c>
      <c r="N38" s="18">
        <f t="shared" si="6"/>
        <v>3</v>
      </c>
      <c r="P38" s="37">
        <v>30</v>
      </c>
      <c r="Q38" s="18">
        <f>COUNTIFS(C3:C806, "30",D3:D806,"AGOSTO",I3:I806, "HOMBRE")</f>
        <v>0</v>
      </c>
      <c r="R38" s="18">
        <f>COUNTIFS(C3:C806, "30",D3:D806,"AGOSTO", I3:I806, "MUJER")</f>
        <v>1</v>
      </c>
      <c r="S38" s="18">
        <f t="shared" si="7"/>
        <v>1</v>
      </c>
      <c r="AJ38" s="26">
        <v>27</v>
      </c>
      <c r="AK38" s="18">
        <f>COUNTIFS(C3:C847, "27",D3:D847,"DICIEMBRE",I3:I847, "HOMBRE")</f>
        <v>0</v>
      </c>
      <c r="AL38" s="18">
        <f>COUNTIFS(C3:C847, "27",D3:D847,"DICIEMBRE", I3:I847, "MUJER")</f>
        <v>1</v>
      </c>
      <c r="AM38" s="18">
        <f t="shared" si="11"/>
        <v>1</v>
      </c>
    </row>
    <row r="39" spans="2:39" x14ac:dyDescent="0.25">
      <c r="B39" s="2" t="s">
        <v>45</v>
      </c>
      <c r="C39" s="2">
        <v>5</v>
      </c>
      <c r="D39" s="2" t="s">
        <v>856</v>
      </c>
      <c r="E39" s="2">
        <v>2018</v>
      </c>
      <c r="F39" s="2">
        <v>15</v>
      </c>
      <c r="G39" s="2"/>
      <c r="H39" s="19">
        <v>2017</v>
      </c>
      <c r="I39" s="2" t="s">
        <v>3</v>
      </c>
      <c r="K39" s="26">
        <v>31</v>
      </c>
      <c r="L39" s="18">
        <f>COUNTIFS(C3:C793, "31",D3:D793,"JULIO", I3:I793, "HOMBRE")</f>
        <v>1</v>
      </c>
      <c r="M39" s="18">
        <f>COUNTIFS(C3:C793, "31",D3:D793,"JULIO", I3:I793, "MUJER")</f>
        <v>0</v>
      </c>
      <c r="N39" s="18">
        <f t="shared" si="6"/>
        <v>1</v>
      </c>
      <c r="P39" s="37">
        <v>31</v>
      </c>
      <c r="Q39" s="18">
        <f>COUNTIFS(C3:C806, "31",D3:D806,"AGOSTO",I3:I806, "HOMBRE")</f>
        <v>2</v>
      </c>
      <c r="R39" s="18">
        <f>COUNTIFS(C3:C806, "31",D3:D806,"AGOSTO", I3:I806, "MUJER")</f>
        <v>0</v>
      </c>
      <c r="S39" s="18">
        <f t="shared" si="7"/>
        <v>2</v>
      </c>
      <c r="AJ39" s="26">
        <v>28</v>
      </c>
      <c r="AK39" s="18">
        <f>COUNTIFS(C3:C847, "28",D3:D847,"DICIEMBRE",I3:I847, "HOMBRE")</f>
        <v>0</v>
      </c>
      <c r="AL39" s="18">
        <f>COUNTIFS(C3:C847, "28",D3:D847,"DICIEMBRE", I3:I847, "MUJER")</f>
        <v>1</v>
      </c>
      <c r="AM39" s="18">
        <f t="shared" si="11"/>
        <v>1</v>
      </c>
    </row>
    <row r="40" spans="2:39" x14ac:dyDescent="0.25">
      <c r="B40" s="2" t="s">
        <v>46</v>
      </c>
      <c r="C40" s="2">
        <v>5</v>
      </c>
      <c r="D40" s="2" t="s">
        <v>856</v>
      </c>
      <c r="E40" s="2">
        <v>2018</v>
      </c>
      <c r="F40" s="2">
        <v>1</v>
      </c>
      <c r="G40" s="2"/>
      <c r="H40" s="19">
        <v>2017</v>
      </c>
      <c r="I40" s="2" t="s">
        <v>3</v>
      </c>
      <c r="K40" s="46" t="s">
        <v>871</v>
      </c>
      <c r="L40" s="46"/>
      <c r="M40" s="46"/>
      <c r="N40" s="28">
        <f>SUM(N25:N39)</f>
        <v>50</v>
      </c>
      <c r="P40" s="46" t="s">
        <v>871</v>
      </c>
      <c r="Q40" s="46"/>
      <c r="R40" s="46"/>
      <c r="S40" s="25">
        <f>SUM(S25:S39)</f>
        <v>36</v>
      </c>
      <c r="AJ40" s="46" t="s">
        <v>871</v>
      </c>
      <c r="AK40" s="46"/>
      <c r="AL40" s="46"/>
      <c r="AM40" s="25">
        <f>SUM(AM25:AM39)</f>
        <v>38</v>
      </c>
    </row>
    <row r="41" spans="2:39" x14ac:dyDescent="0.25">
      <c r="B41" s="2" t="s">
        <v>47</v>
      </c>
      <c r="C41" s="2">
        <v>5</v>
      </c>
      <c r="D41" s="2" t="s">
        <v>856</v>
      </c>
      <c r="E41" s="2">
        <v>2018</v>
      </c>
      <c r="F41" s="2">
        <v>30</v>
      </c>
      <c r="G41" s="2"/>
      <c r="H41" s="19">
        <v>2017</v>
      </c>
      <c r="I41" s="2" t="s">
        <v>2</v>
      </c>
    </row>
    <row r="42" spans="2:39" x14ac:dyDescent="0.25">
      <c r="B42" s="2" t="s">
        <v>48</v>
      </c>
      <c r="C42" s="2">
        <v>5</v>
      </c>
      <c r="D42" s="2" t="s">
        <v>856</v>
      </c>
      <c r="E42" s="2">
        <v>2018</v>
      </c>
      <c r="F42" s="2">
        <v>29</v>
      </c>
      <c r="G42" s="2"/>
      <c r="H42" s="19">
        <v>2017</v>
      </c>
      <c r="I42" s="2" t="s">
        <v>2</v>
      </c>
    </row>
    <row r="43" spans="2:39" x14ac:dyDescent="0.25">
      <c r="B43" s="2" t="s">
        <v>49</v>
      </c>
      <c r="C43" s="2">
        <v>5</v>
      </c>
      <c r="D43" s="2" t="s">
        <v>856</v>
      </c>
      <c r="E43" s="2">
        <v>2018</v>
      </c>
      <c r="F43" s="2">
        <v>29</v>
      </c>
      <c r="G43" s="2"/>
      <c r="H43" s="19">
        <v>2017</v>
      </c>
      <c r="I43" s="2" t="s">
        <v>2</v>
      </c>
    </row>
    <row r="44" spans="2:39" x14ac:dyDescent="0.25">
      <c r="B44" s="2" t="s">
        <v>50</v>
      </c>
      <c r="C44" s="2">
        <v>5</v>
      </c>
      <c r="D44" s="2" t="s">
        <v>856</v>
      </c>
      <c r="E44" s="2">
        <v>2018</v>
      </c>
      <c r="F44" s="2">
        <v>27</v>
      </c>
      <c r="G44" s="2"/>
      <c r="H44" s="19">
        <v>2017</v>
      </c>
      <c r="I44" s="2" t="s">
        <v>2</v>
      </c>
    </row>
    <row r="45" spans="2:39" x14ac:dyDescent="0.25">
      <c r="B45" s="2" t="s">
        <v>51</v>
      </c>
      <c r="C45" s="2">
        <v>5</v>
      </c>
      <c r="D45" s="2" t="s">
        <v>856</v>
      </c>
      <c r="E45" s="2">
        <v>2018</v>
      </c>
      <c r="F45" s="2">
        <v>13</v>
      </c>
      <c r="G45" s="2"/>
      <c r="H45" s="19">
        <v>2017</v>
      </c>
      <c r="I45" s="2" t="s">
        <v>3</v>
      </c>
    </row>
    <row r="46" spans="2:39" x14ac:dyDescent="0.25">
      <c r="B46" s="2" t="s">
        <v>52</v>
      </c>
      <c r="C46" s="2">
        <v>5</v>
      </c>
      <c r="D46" s="2" t="s">
        <v>856</v>
      </c>
      <c r="E46" s="2">
        <v>2018</v>
      </c>
      <c r="F46" s="2">
        <v>9</v>
      </c>
      <c r="G46" s="2"/>
      <c r="H46" s="19">
        <v>2016</v>
      </c>
      <c r="I46" s="2" t="s">
        <v>3</v>
      </c>
    </row>
    <row r="47" spans="2:39" x14ac:dyDescent="0.25">
      <c r="B47" s="2" t="s">
        <v>53</v>
      </c>
      <c r="C47" s="2">
        <v>5</v>
      </c>
      <c r="D47" s="2" t="s">
        <v>856</v>
      </c>
      <c r="E47" s="2">
        <v>2018</v>
      </c>
      <c r="F47" s="2">
        <v>7</v>
      </c>
      <c r="G47" s="2"/>
      <c r="H47" s="19">
        <v>2017</v>
      </c>
      <c r="I47" s="2" t="s">
        <v>2</v>
      </c>
    </row>
    <row r="48" spans="2:39" x14ac:dyDescent="0.25">
      <c r="B48" s="2" t="s">
        <v>54</v>
      </c>
      <c r="C48" s="2">
        <v>5</v>
      </c>
      <c r="D48" s="2" t="s">
        <v>856</v>
      </c>
      <c r="E48" s="2">
        <v>2018</v>
      </c>
      <c r="F48" s="2">
        <v>7</v>
      </c>
      <c r="G48" s="2"/>
      <c r="H48" s="19">
        <v>2016</v>
      </c>
      <c r="I48" s="2" t="s">
        <v>2</v>
      </c>
    </row>
    <row r="49" spans="2:9" x14ac:dyDescent="0.25">
      <c r="B49" s="2" t="s">
        <v>55</v>
      </c>
      <c r="C49" s="2">
        <v>5</v>
      </c>
      <c r="D49" s="2" t="s">
        <v>856</v>
      </c>
      <c r="E49" s="2">
        <v>2018</v>
      </c>
      <c r="F49" s="2">
        <v>4</v>
      </c>
      <c r="G49" s="2"/>
      <c r="H49" s="19">
        <v>2017</v>
      </c>
      <c r="I49" s="2" t="s">
        <v>3</v>
      </c>
    </row>
    <row r="50" spans="2:9" x14ac:dyDescent="0.25">
      <c r="B50" s="2" t="s">
        <v>56</v>
      </c>
      <c r="C50" s="2">
        <v>5</v>
      </c>
      <c r="D50" s="2" t="s">
        <v>856</v>
      </c>
      <c r="E50" s="2">
        <v>2018</v>
      </c>
      <c r="F50" s="2">
        <v>28</v>
      </c>
      <c r="G50" s="2"/>
      <c r="H50" s="19">
        <v>2017</v>
      </c>
      <c r="I50" s="2" t="s">
        <v>2</v>
      </c>
    </row>
    <row r="51" spans="2:9" x14ac:dyDescent="0.25">
      <c r="B51" s="2" t="s">
        <v>57</v>
      </c>
      <c r="C51" s="2">
        <v>5</v>
      </c>
      <c r="D51" s="2" t="s">
        <v>856</v>
      </c>
      <c r="E51" s="2">
        <v>2018</v>
      </c>
      <c r="F51" s="2">
        <v>18</v>
      </c>
      <c r="G51" s="2"/>
      <c r="H51" s="19">
        <v>2017</v>
      </c>
      <c r="I51" s="2" t="s">
        <v>3</v>
      </c>
    </row>
    <row r="52" spans="2:9" x14ac:dyDescent="0.25">
      <c r="B52" s="2" t="s">
        <v>58</v>
      </c>
      <c r="C52" s="2">
        <v>5</v>
      </c>
      <c r="D52" s="2" t="s">
        <v>856</v>
      </c>
      <c r="E52" s="2">
        <v>2018</v>
      </c>
      <c r="F52" s="2">
        <v>22</v>
      </c>
      <c r="G52" s="2"/>
      <c r="H52" s="19">
        <v>2015</v>
      </c>
      <c r="I52" s="2" t="s">
        <v>3</v>
      </c>
    </row>
    <row r="53" spans="2:9" x14ac:dyDescent="0.25">
      <c r="B53" s="2" t="s">
        <v>59</v>
      </c>
      <c r="C53" s="2">
        <v>5</v>
      </c>
      <c r="D53" s="2" t="s">
        <v>856</v>
      </c>
      <c r="E53" s="2">
        <v>2018</v>
      </c>
      <c r="F53" s="2">
        <v>8</v>
      </c>
      <c r="G53" s="2"/>
      <c r="H53" s="19">
        <v>2017</v>
      </c>
      <c r="I53" s="2" t="s">
        <v>3</v>
      </c>
    </row>
    <row r="54" spans="2:9" x14ac:dyDescent="0.25">
      <c r="B54" s="2" t="s">
        <v>60</v>
      </c>
      <c r="C54" s="2">
        <v>5</v>
      </c>
      <c r="D54" s="2" t="s">
        <v>856</v>
      </c>
      <c r="E54" s="2">
        <v>2018</v>
      </c>
      <c r="F54" s="2">
        <v>8</v>
      </c>
      <c r="G54" s="2"/>
      <c r="H54" s="19">
        <v>2014</v>
      </c>
      <c r="I54" s="2" t="s">
        <v>3</v>
      </c>
    </row>
    <row r="55" spans="2:9" x14ac:dyDescent="0.25">
      <c r="B55" s="2" t="s">
        <v>61</v>
      </c>
      <c r="C55" s="2">
        <v>5</v>
      </c>
      <c r="D55" s="2" t="s">
        <v>856</v>
      </c>
      <c r="E55" s="2">
        <v>2018</v>
      </c>
      <c r="F55" s="2">
        <v>12</v>
      </c>
      <c r="G55" s="2"/>
      <c r="H55" s="19">
        <v>2015</v>
      </c>
      <c r="I55" s="2" t="s">
        <v>3</v>
      </c>
    </row>
    <row r="56" spans="2:9" x14ac:dyDescent="0.25">
      <c r="B56" s="2" t="s">
        <v>62</v>
      </c>
      <c r="C56" s="2">
        <v>5</v>
      </c>
      <c r="D56" s="2" t="s">
        <v>856</v>
      </c>
      <c r="E56" s="2">
        <v>2018</v>
      </c>
      <c r="F56" s="2">
        <v>15</v>
      </c>
      <c r="G56" s="2"/>
      <c r="H56" s="19">
        <v>2017</v>
      </c>
      <c r="I56" s="2" t="s">
        <v>3</v>
      </c>
    </row>
    <row r="57" spans="2:9" x14ac:dyDescent="0.25">
      <c r="B57" s="2" t="s">
        <v>63</v>
      </c>
      <c r="C57" s="2">
        <v>5</v>
      </c>
      <c r="D57" s="2" t="s">
        <v>856</v>
      </c>
      <c r="E57" s="2">
        <v>2018</v>
      </c>
      <c r="F57" s="2">
        <v>14</v>
      </c>
      <c r="G57" s="2"/>
      <c r="H57" s="19">
        <v>2017</v>
      </c>
      <c r="I57" s="2" t="s">
        <v>2</v>
      </c>
    </row>
    <row r="58" spans="2:9" x14ac:dyDescent="0.25">
      <c r="B58" s="2" t="s">
        <v>64</v>
      </c>
      <c r="C58" s="2">
        <v>5</v>
      </c>
      <c r="D58" s="2" t="s">
        <v>856</v>
      </c>
      <c r="E58" s="2">
        <v>2018</v>
      </c>
      <c r="F58" s="2">
        <v>26</v>
      </c>
      <c r="G58" s="2"/>
      <c r="H58" s="19">
        <v>2017</v>
      </c>
      <c r="I58" s="2" t="s">
        <v>2</v>
      </c>
    </row>
    <row r="59" spans="2:9" x14ac:dyDescent="0.25">
      <c r="B59" s="2" t="s">
        <v>65</v>
      </c>
      <c r="C59" s="2">
        <v>5</v>
      </c>
      <c r="D59" s="2" t="s">
        <v>856</v>
      </c>
      <c r="E59" s="2">
        <v>2018</v>
      </c>
      <c r="F59" s="2">
        <v>7</v>
      </c>
      <c r="G59" s="2"/>
      <c r="H59" s="19">
        <v>2017</v>
      </c>
      <c r="I59" s="2" t="s">
        <v>3</v>
      </c>
    </row>
    <row r="60" spans="2:9" x14ac:dyDescent="0.25">
      <c r="B60" s="2" t="s">
        <v>66</v>
      </c>
      <c r="C60" s="2">
        <v>5</v>
      </c>
      <c r="D60" s="2" t="s">
        <v>856</v>
      </c>
      <c r="E60" s="2">
        <v>2018</v>
      </c>
      <c r="F60" s="2">
        <v>19</v>
      </c>
      <c r="G60" s="2"/>
      <c r="H60" s="19">
        <v>2017</v>
      </c>
      <c r="I60" s="2" t="s">
        <v>3</v>
      </c>
    </row>
    <row r="61" spans="2:9" x14ac:dyDescent="0.25">
      <c r="B61" s="2" t="s">
        <v>67</v>
      </c>
      <c r="C61" s="2">
        <v>5</v>
      </c>
      <c r="D61" s="2" t="s">
        <v>856</v>
      </c>
      <c r="E61" s="2">
        <v>2018</v>
      </c>
      <c r="F61" s="2">
        <v>8</v>
      </c>
      <c r="G61" s="2"/>
      <c r="H61" s="19">
        <v>2017</v>
      </c>
      <c r="I61" s="2" t="s">
        <v>3</v>
      </c>
    </row>
    <row r="62" spans="2:9" x14ac:dyDescent="0.25">
      <c r="B62" s="2" t="s">
        <v>68</v>
      </c>
      <c r="C62" s="2">
        <v>5</v>
      </c>
      <c r="D62" s="2" t="s">
        <v>856</v>
      </c>
      <c r="E62" s="2">
        <v>2018</v>
      </c>
      <c r="F62" s="2">
        <v>4</v>
      </c>
      <c r="G62" s="2"/>
      <c r="H62" s="19">
        <v>2017</v>
      </c>
      <c r="I62" s="2" t="s">
        <v>3</v>
      </c>
    </row>
    <row r="63" spans="2:9" x14ac:dyDescent="0.25">
      <c r="B63" s="2" t="s">
        <v>69</v>
      </c>
      <c r="C63" s="2">
        <v>5</v>
      </c>
      <c r="D63" s="2" t="s">
        <v>856</v>
      </c>
      <c r="E63" s="2">
        <v>2018</v>
      </c>
      <c r="F63" s="2">
        <v>6</v>
      </c>
      <c r="G63" s="2"/>
      <c r="H63" s="19">
        <v>2017</v>
      </c>
      <c r="I63" s="2" t="s">
        <v>3</v>
      </c>
    </row>
    <row r="64" spans="2:9" x14ac:dyDescent="0.25">
      <c r="B64" s="2" t="s">
        <v>70</v>
      </c>
      <c r="C64" s="2">
        <v>9</v>
      </c>
      <c r="D64" s="2" t="s">
        <v>856</v>
      </c>
      <c r="E64" s="2">
        <v>2018</v>
      </c>
      <c r="F64" s="2">
        <v>14</v>
      </c>
      <c r="G64" s="2"/>
      <c r="H64" s="19">
        <v>2017</v>
      </c>
      <c r="I64" s="2" t="s">
        <v>3</v>
      </c>
    </row>
    <row r="65" spans="2:9" x14ac:dyDescent="0.25">
      <c r="B65" s="2" t="s">
        <v>71</v>
      </c>
      <c r="C65" s="2">
        <v>9</v>
      </c>
      <c r="D65" s="2" t="s">
        <v>856</v>
      </c>
      <c r="E65" s="2">
        <v>2018</v>
      </c>
      <c r="F65" s="2">
        <v>5</v>
      </c>
      <c r="G65" s="2"/>
      <c r="H65" s="19">
        <v>2017</v>
      </c>
      <c r="I65" s="2" t="s">
        <v>3</v>
      </c>
    </row>
    <row r="66" spans="2:9" x14ac:dyDescent="0.25">
      <c r="B66" s="2" t="s">
        <v>72</v>
      </c>
      <c r="C66" s="2">
        <v>9</v>
      </c>
      <c r="D66" s="2" t="s">
        <v>856</v>
      </c>
      <c r="E66" s="2">
        <v>2018</v>
      </c>
      <c r="F66" s="2">
        <v>27</v>
      </c>
      <c r="G66" s="2"/>
      <c r="H66" s="19">
        <v>2017</v>
      </c>
      <c r="I66" s="2" t="s">
        <v>3</v>
      </c>
    </row>
    <row r="67" spans="2:9" x14ac:dyDescent="0.25">
      <c r="B67" s="2" t="s">
        <v>73</v>
      </c>
      <c r="C67" s="2">
        <v>9</v>
      </c>
      <c r="D67" s="2" t="s">
        <v>856</v>
      </c>
      <c r="E67" s="2">
        <v>2018</v>
      </c>
      <c r="F67" s="2">
        <v>29</v>
      </c>
      <c r="G67" s="2"/>
      <c r="H67" s="19">
        <v>2017</v>
      </c>
      <c r="I67" s="2" t="s">
        <v>2</v>
      </c>
    </row>
    <row r="68" spans="2:9" x14ac:dyDescent="0.25">
      <c r="B68" s="2" t="s">
        <v>74</v>
      </c>
      <c r="C68" s="2">
        <v>9</v>
      </c>
      <c r="D68" s="2" t="s">
        <v>856</v>
      </c>
      <c r="E68" s="2">
        <v>2018</v>
      </c>
      <c r="F68" s="2">
        <v>17</v>
      </c>
      <c r="G68" s="2"/>
      <c r="H68" s="19">
        <v>2017</v>
      </c>
      <c r="I68" s="2" t="s">
        <v>3</v>
      </c>
    </row>
    <row r="69" spans="2:9" x14ac:dyDescent="0.25">
      <c r="B69" s="2" t="s">
        <v>75</v>
      </c>
      <c r="C69" s="2">
        <v>9</v>
      </c>
      <c r="D69" s="2" t="s">
        <v>856</v>
      </c>
      <c r="E69" s="2">
        <v>2018</v>
      </c>
      <c r="F69" s="2">
        <v>20</v>
      </c>
      <c r="G69" s="2"/>
      <c r="H69" s="19">
        <v>2017</v>
      </c>
      <c r="I69" s="2" t="s">
        <v>3</v>
      </c>
    </row>
    <row r="70" spans="2:9" x14ac:dyDescent="0.25">
      <c r="B70" s="2" t="s">
        <v>76</v>
      </c>
      <c r="C70" s="2">
        <v>9</v>
      </c>
      <c r="D70" s="2" t="s">
        <v>856</v>
      </c>
      <c r="E70" s="2">
        <v>2018</v>
      </c>
      <c r="F70" s="2">
        <v>15</v>
      </c>
      <c r="G70" s="2"/>
      <c r="H70" s="19">
        <v>2017</v>
      </c>
      <c r="I70" s="2" t="s">
        <v>2</v>
      </c>
    </row>
    <row r="71" spans="2:9" x14ac:dyDescent="0.25">
      <c r="B71" s="2" t="s">
        <v>77</v>
      </c>
      <c r="C71" s="2">
        <v>9</v>
      </c>
      <c r="D71" s="2" t="s">
        <v>856</v>
      </c>
      <c r="E71" s="2">
        <v>2018</v>
      </c>
      <c r="F71" s="2">
        <v>15</v>
      </c>
      <c r="G71" s="2"/>
      <c r="H71" s="19">
        <v>2017</v>
      </c>
      <c r="I71" s="2" t="s">
        <v>2</v>
      </c>
    </row>
    <row r="72" spans="2:9" x14ac:dyDescent="0.25">
      <c r="B72" s="2" t="s">
        <v>78</v>
      </c>
      <c r="C72" s="2">
        <v>9</v>
      </c>
      <c r="D72" s="2" t="s">
        <v>856</v>
      </c>
      <c r="E72" s="2">
        <v>2018</v>
      </c>
      <c r="F72" s="2">
        <v>21</v>
      </c>
      <c r="G72" s="2"/>
      <c r="H72" s="19">
        <v>2017</v>
      </c>
      <c r="I72" s="2" t="s">
        <v>2</v>
      </c>
    </row>
    <row r="73" spans="2:9" x14ac:dyDescent="0.25">
      <c r="B73" s="2" t="s">
        <v>79</v>
      </c>
      <c r="C73" s="2">
        <v>9</v>
      </c>
      <c r="D73" s="2" t="s">
        <v>856</v>
      </c>
      <c r="E73" s="2">
        <v>2018</v>
      </c>
      <c r="F73" s="2">
        <v>25</v>
      </c>
      <c r="G73" s="2"/>
      <c r="H73" s="19">
        <v>2017</v>
      </c>
      <c r="I73" s="2" t="s">
        <v>3</v>
      </c>
    </row>
    <row r="74" spans="2:9" x14ac:dyDescent="0.25">
      <c r="B74" s="2" t="s">
        <v>80</v>
      </c>
      <c r="C74" s="2">
        <v>9</v>
      </c>
      <c r="D74" s="2" t="s">
        <v>856</v>
      </c>
      <c r="E74" s="2">
        <v>2018</v>
      </c>
      <c r="F74" s="2">
        <v>27</v>
      </c>
      <c r="G74" s="2"/>
      <c r="H74" s="19">
        <v>2017</v>
      </c>
      <c r="I74" s="2" t="s">
        <v>3</v>
      </c>
    </row>
    <row r="75" spans="2:9" x14ac:dyDescent="0.25">
      <c r="B75" s="2" t="s">
        <v>81</v>
      </c>
      <c r="C75" s="2">
        <v>9</v>
      </c>
      <c r="D75" s="2" t="s">
        <v>856</v>
      </c>
      <c r="E75" s="2">
        <v>2018</v>
      </c>
      <c r="F75" s="2">
        <v>8</v>
      </c>
      <c r="G75" s="2"/>
      <c r="H75" s="19">
        <v>2017</v>
      </c>
      <c r="I75" s="2" t="s">
        <v>2</v>
      </c>
    </row>
    <row r="76" spans="2:9" x14ac:dyDescent="0.25">
      <c r="B76" s="2" t="s">
        <v>82</v>
      </c>
      <c r="C76" s="2">
        <v>9</v>
      </c>
      <c r="D76" s="2" t="s">
        <v>856</v>
      </c>
      <c r="E76" s="2">
        <v>2018</v>
      </c>
      <c r="F76" s="2">
        <v>15</v>
      </c>
      <c r="G76" s="2"/>
      <c r="H76" s="19">
        <v>2017</v>
      </c>
      <c r="I76" s="2" t="s">
        <v>3</v>
      </c>
    </row>
    <row r="77" spans="2:9" x14ac:dyDescent="0.25">
      <c r="B77" s="2" t="s">
        <v>83</v>
      </c>
      <c r="C77" s="2">
        <v>9</v>
      </c>
      <c r="D77" s="2" t="s">
        <v>856</v>
      </c>
      <c r="E77" s="2">
        <v>2018</v>
      </c>
      <c r="F77" s="2">
        <v>13</v>
      </c>
      <c r="G77" s="2"/>
      <c r="H77" s="19">
        <v>2016</v>
      </c>
      <c r="I77" s="2" t="s">
        <v>2</v>
      </c>
    </row>
    <row r="78" spans="2:9" x14ac:dyDescent="0.25">
      <c r="B78" s="2" t="s">
        <v>84</v>
      </c>
      <c r="C78" s="2">
        <v>9</v>
      </c>
      <c r="D78" s="2" t="s">
        <v>856</v>
      </c>
      <c r="E78" s="2">
        <v>2018</v>
      </c>
      <c r="F78" s="2">
        <v>18</v>
      </c>
      <c r="G78" s="2"/>
      <c r="H78" s="19">
        <v>2017</v>
      </c>
      <c r="I78" s="2" t="s">
        <v>2</v>
      </c>
    </row>
    <row r="79" spans="2:9" x14ac:dyDescent="0.25">
      <c r="B79" s="2" t="s">
        <v>85</v>
      </c>
      <c r="C79" s="2">
        <v>9</v>
      </c>
      <c r="D79" s="2" t="s">
        <v>856</v>
      </c>
      <c r="E79" s="2">
        <v>2018</v>
      </c>
      <c r="F79" s="2">
        <v>21</v>
      </c>
      <c r="G79" s="2"/>
      <c r="H79" s="19">
        <v>2016</v>
      </c>
      <c r="I79" s="2" t="s">
        <v>2</v>
      </c>
    </row>
    <row r="80" spans="2:9" x14ac:dyDescent="0.25">
      <c r="B80" s="2" t="s">
        <v>86</v>
      </c>
      <c r="C80" s="2">
        <v>9</v>
      </c>
      <c r="D80" s="2" t="s">
        <v>856</v>
      </c>
      <c r="E80" s="2">
        <v>2018</v>
      </c>
      <c r="F80" s="2">
        <v>3</v>
      </c>
      <c r="G80" s="2"/>
      <c r="H80" s="19">
        <v>2017</v>
      </c>
      <c r="I80" s="2" t="s">
        <v>3</v>
      </c>
    </row>
    <row r="81" spans="2:9" x14ac:dyDescent="0.25">
      <c r="B81" s="2" t="s">
        <v>87</v>
      </c>
      <c r="C81" s="2">
        <v>9</v>
      </c>
      <c r="D81" s="2" t="s">
        <v>856</v>
      </c>
      <c r="E81" s="2">
        <v>2018</v>
      </c>
      <c r="F81" s="2">
        <v>16</v>
      </c>
      <c r="G81" s="2"/>
      <c r="H81" s="19">
        <v>2017</v>
      </c>
      <c r="I81" s="2" t="s">
        <v>3</v>
      </c>
    </row>
    <row r="82" spans="2:9" x14ac:dyDescent="0.25">
      <c r="B82" s="2" t="s">
        <v>88</v>
      </c>
      <c r="C82" s="2">
        <v>9</v>
      </c>
      <c r="D82" s="2" t="s">
        <v>856</v>
      </c>
      <c r="E82" s="2">
        <v>2018</v>
      </c>
      <c r="F82" s="2">
        <v>9</v>
      </c>
      <c r="G82" s="2"/>
      <c r="H82" s="19">
        <v>2017</v>
      </c>
      <c r="I82" s="2" t="s">
        <v>3</v>
      </c>
    </row>
    <row r="83" spans="2:9" x14ac:dyDescent="0.25">
      <c r="B83" s="2" t="s">
        <v>89</v>
      </c>
      <c r="C83" s="2">
        <v>9</v>
      </c>
      <c r="D83" s="2" t="s">
        <v>856</v>
      </c>
      <c r="E83" s="2">
        <v>2018</v>
      </c>
      <c r="F83" s="2">
        <v>17</v>
      </c>
      <c r="G83" s="2"/>
      <c r="H83" s="19">
        <v>2017</v>
      </c>
      <c r="I83" s="2" t="s">
        <v>2</v>
      </c>
    </row>
    <row r="84" spans="2:9" x14ac:dyDescent="0.25">
      <c r="B84" s="2" t="s">
        <v>90</v>
      </c>
      <c r="C84" s="2">
        <v>9</v>
      </c>
      <c r="D84" s="2" t="s">
        <v>856</v>
      </c>
      <c r="E84" s="2">
        <v>2018</v>
      </c>
      <c r="F84" s="2">
        <v>20</v>
      </c>
      <c r="G84" s="2"/>
      <c r="H84" s="19">
        <v>2017</v>
      </c>
      <c r="I84" s="2" t="s">
        <v>2</v>
      </c>
    </row>
    <row r="85" spans="2:9" x14ac:dyDescent="0.25">
      <c r="B85" s="2" t="s">
        <v>91</v>
      </c>
      <c r="C85" s="2">
        <v>9</v>
      </c>
      <c r="D85" s="2" t="s">
        <v>856</v>
      </c>
      <c r="E85" s="2">
        <v>2018</v>
      </c>
      <c r="F85" s="2">
        <v>29</v>
      </c>
      <c r="G85" s="2"/>
      <c r="H85" s="19">
        <v>2017</v>
      </c>
      <c r="I85" s="2" t="s">
        <v>2</v>
      </c>
    </row>
    <row r="86" spans="2:9" x14ac:dyDescent="0.25">
      <c r="B86" s="2" t="s">
        <v>92</v>
      </c>
      <c r="C86" s="2">
        <v>10</v>
      </c>
      <c r="D86" s="2" t="s">
        <v>856</v>
      </c>
      <c r="E86" s="2">
        <v>2018</v>
      </c>
      <c r="F86" s="2">
        <v>1</v>
      </c>
      <c r="G86" s="2"/>
      <c r="H86" s="19">
        <v>2017</v>
      </c>
      <c r="I86" s="2" t="s">
        <v>2</v>
      </c>
    </row>
    <row r="87" spans="2:9" x14ac:dyDescent="0.25">
      <c r="B87" s="2" t="s">
        <v>93</v>
      </c>
      <c r="C87" s="2">
        <v>10</v>
      </c>
      <c r="D87" s="2" t="s">
        <v>856</v>
      </c>
      <c r="E87" s="2">
        <v>2018</v>
      </c>
      <c r="F87" s="2">
        <v>1</v>
      </c>
      <c r="G87" s="2"/>
      <c r="H87" s="19">
        <v>2018</v>
      </c>
      <c r="I87" s="2" t="s">
        <v>3</v>
      </c>
    </row>
    <row r="88" spans="2:9" x14ac:dyDescent="0.25">
      <c r="B88" s="2" t="s">
        <v>94</v>
      </c>
      <c r="C88" s="2">
        <v>10</v>
      </c>
      <c r="D88" s="2" t="s">
        <v>856</v>
      </c>
      <c r="E88" s="2">
        <v>2018</v>
      </c>
      <c r="F88" s="2">
        <v>31</v>
      </c>
      <c r="G88" s="2"/>
      <c r="H88" s="19">
        <v>2017</v>
      </c>
      <c r="I88" s="2" t="s">
        <v>3</v>
      </c>
    </row>
    <row r="89" spans="2:9" x14ac:dyDescent="0.25">
      <c r="B89" s="2" t="s">
        <v>95</v>
      </c>
      <c r="C89" s="2">
        <v>10</v>
      </c>
      <c r="D89" s="2" t="s">
        <v>856</v>
      </c>
      <c r="E89" s="2">
        <v>2018</v>
      </c>
      <c r="F89" s="2">
        <v>18</v>
      </c>
      <c r="G89" s="2"/>
      <c r="H89" s="19">
        <v>2017</v>
      </c>
      <c r="I89" s="2" t="s">
        <v>3</v>
      </c>
    </row>
    <row r="90" spans="2:9" x14ac:dyDescent="0.25">
      <c r="B90" s="2" t="s">
        <v>96</v>
      </c>
      <c r="C90" s="2">
        <v>10</v>
      </c>
      <c r="D90" s="2" t="s">
        <v>856</v>
      </c>
      <c r="E90" s="2">
        <v>2018</v>
      </c>
      <c r="F90" s="2">
        <v>18</v>
      </c>
      <c r="G90" s="2"/>
      <c r="H90" s="19">
        <v>2017</v>
      </c>
      <c r="I90" s="2" t="s">
        <v>2</v>
      </c>
    </row>
    <row r="91" spans="2:9" x14ac:dyDescent="0.25">
      <c r="B91" s="2" t="s">
        <v>97</v>
      </c>
      <c r="C91" s="2">
        <v>10</v>
      </c>
      <c r="D91" s="2" t="s">
        <v>856</v>
      </c>
      <c r="E91" s="2">
        <v>2018</v>
      </c>
      <c r="F91" s="2">
        <v>2</v>
      </c>
      <c r="G91" s="2"/>
      <c r="H91" s="19">
        <v>2017</v>
      </c>
      <c r="I91" s="2" t="s">
        <v>3</v>
      </c>
    </row>
    <row r="92" spans="2:9" x14ac:dyDescent="0.25">
      <c r="B92" s="2" t="s">
        <v>98</v>
      </c>
      <c r="C92" s="2">
        <v>10</v>
      </c>
      <c r="D92" s="2" t="s">
        <v>856</v>
      </c>
      <c r="E92" s="2">
        <v>2018</v>
      </c>
      <c r="F92" s="2">
        <v>17</v>
      </c>
      <c r="G92" s="2"/>
      <c r="H92" s="19">
        <v>1998</v>
      </c>
      <c r="I92" s="2" t="s">
        <v>3</v>
      </c>
    </row>
    <row r="93" spans="2:9" x14ac:dyDescent="0.25">
      <c r="B93" s="2" t="s">
        <v>99</v>
      </c>
      <c r="C93" s="2">
        <v>10</v>
      </c>
      <c r="D93" s="2" t="s">
        <v>856</v>
      </c>
      <c r="E93" s="2">
        <v>2018</v>
      </c>
      <c r="F93" s="2">
        <v>28</v>
      </c>
      <c r="G93" s="2"/>
      <c r="H93" s="19">
        <v>2017</v>
      </c>
      <c r="I93" s="2" t="s">
        <v>2</v>
      </c>
    </row>
    <row r="94" spans="2:9" x14ac:dyDescent="0.25">
      <c r="B94" s="2" t="s">
        <v>100</v>
      </c>
      <c r="C94" s="2">
        <v>12</v>
      </c>
      <c r="D94" s="2" t="s">
        <v>856</v>
      </c>
      <c r="E94" s="2">
        <v>2018</v>
      </c>
      <c r="F94" s="2">
        <v>19</v>
      </c>
      <c r="G94" s="2"/>
      <c r="H94" s="19">
        <v>2017</v>
      </c>
      <c r="I94" s="2" t="s">
        <v>3</v>
      </c>
    </row>
    <row r="95" spans="2:9" x14ac:dyDescent="0.25">
      <c r="B95" s="2" t="s">
        <v>101</v>
      </c>
      <c r="C95" s="2">
        <v>12</v>
      </c>
      <c r="D95" s="2" t="s">
        <v>856</v>
      </c>
      <c r="E95" s="2">
        <v>2018</v>
      </c>
      <c r="F95" s="2">
        <v>27</v>
      </c>
      <c r="G95" s="2"/>
      <c r="H95" s="19">
        <v>2017</v>
      </c>
      <c r="I95" s="2" t="s">
        <v>3</v>
      </c>
    </row>
    <row r="96" spans="2:9" x14ac:dyDescent="0.25">
      <c r="B96" s="2" t="s">
        <v>102</v>
      </c>
      <c r="C96" s="2">
        <v>12</v>
      </c>
      <c r="D96" s="2" t="s">
        <v>856</v>
      </c>
      <c r="E96" s="2">
        <v>2018</v>
      </c>
      <c r="F96" s="2">
        <v>8</v>
      </c>
      <c r="G96" s="2"/>
      <c r="H96" s="19">
        <v>2017</v>
      </c>
      <c r="I96" s="2" t="s">
        <v>3</v>
      </c>
    </row>
    <row r="97" spans="2:9" x14ac:dyDescent="0.25">
      <c r="B97" s="2" t="s">
        <v>103</v>
      </c>
      <c r="C97" s="2">
        <v>12</v>
      </c>
      <c r="D97" s="2" t="s">
        <v>856</v>
      </c>
      <c r="E97" s="2">
        <v>2018</v>
      </c>
      <c r="F97" s="2">
        <v>1</v>
      </c>
      <c r="G97" s="2"/>
      <c r="H97" s="19">
        <v>2017</v>
      </c>
      <c r="I97" s="2" t="s">
        <v>2</v>
      </c>
    </row>
    <row r="98" spans="2:9" x14ac:dyDescent="0.25">
      <c r="B98" s="2" t="s">
        <v>104</v>
      </c>
      <c r="C98" s="2">
        <v>12</v>
      </c>
      <c r="D98" s="2" t="s">
        <v>856</v>
      </c>
      <c r="E98" s="2">
        <v>2018</v>
      </c>
      <c r="F98" s="2">
        <v>20</v>
      </c>
      <c r="G98" s="2"/>
      <c r="H98" s="19">
        <v>2017</v>
      </c>
      <c r="I98" s="2" t="s">
        <v>3</v>
      </c>
    </row>
    <row r="99" spans="2:9" x14ac:dyDescent="0.25">
      <c r="B99" s="2" t="s">
        <v>105</v>
      </c>
      <c r="C99" s="2">
        <v>15</v>
      </c>
      <c r="D99" s="2" t="s">
        <v>856</v>
      </c>
      <c r="E99" s="2">
        <v>2018</v>
      </c>
      <c r="F99" s="2">
        <v>6</v>
      </c>
      <c r="G99" s="2"/>
      <c r="H99" s="19">
        <v>2017</v>
      </c>
      <c r="I99" s="2" t="s">
        <v>3</v>
      </c>
    </row>
    <row r="100" spans="2:9" x14ac:dyDescent="0.25">
      <c r="B100" s="2" t="s">
        <v>106</v>
      </c>
      <c r="C100" s="2">
        <v>15</v>
      </c>
      <c r="D100" s="2" t="s">
        <v>856</v>
      </c>
      <c r="E100" s="2">
        <v>2018</v>
      </c>
      <c r="F100" s="2">
        <v>12</v>
      </c>
      <c r="G100" s="2"/>
      <c r="H100" s="19">
        <v>2018</v>
      </c>
      <c r="I100" s="2" t="s">
        <v>2</v>
      </c>
    </row>
    <row r="101" spans="2:9" x14ac:dyDescent="0.25">
      <c r="B101" s="2" t="s">
        <v>107</v>
      </c>
      <c r="C101" s="2">
        <v>15</v>
      </c>
      <c r="D101" s="2" t="s">
        <v>856</v>
      </c>
      <c r="E101" s="2">
        <v>2018</v>
      </c>
      <c r="F101" s="2">
        <v>23</v>
      </c>
      <c r="G101" s="2"/>
      <c r="H101" s="19">
        <v>2017</v>
      </c>
      <c r="I101" s="2" t="s">
        <v>2</v>
      </c>
    </row>
    <row r="102" spans="2:9" x14ac:dyDescent="0.25">
      <c r="B102" s="2" t="s">
        <v>108</v>
      </c>
      <c r="C102" s="2">
        <v>16</v>
      </c>
      <c r="D102" s="2" t="s">
        <v>856</v>
      </c>
      <c r="E102" s="2">
        <v>2018</v>
      </c>
      <c r="F102" s="2">
        <v>20</v>
      </c>
      <c r="G102" s="2"/>
      <c r="H102" s="19">
        <v>2017</v>
      </c>
      <c r="I102" s="2" t="s">
        <v>2</v>
      </c>
    </row>
    <row r="103" spans="2:9" x14ac:dyDescent="0.25">
      <c r="B103" s="2" t="s">
        <v>109</v>
      </c>
      <c r="C103" s="2">
        <v>17</v>
      </c>
      <c r="D103" s="2" t="s">
        <v>856</v>
      </c>
      <c r="E103" s="2">
        <v>2018</v>
      </c>
      <c r="F103" s="2">
        <v>4</v>
      </c>
      <c r="G103" s="2"/>
      <c r="H103" s="19">
        <v>1945</v>
      </c>
      <c r="I103" s="2" t="s">
        <v>2</v>
      </c>
    </row>
    <row r="104" spans="2:9" x14ac:dyDescent="0.25">
      <c r="B104" s="2" t="s">
        <v>110</v>
      </c>
      <c r="C104" s="2">
        <v>17</v>
      </c>
      <c r="D104" s="2" t="s">
        <v>856</v>
      </c>
      <c r="E104" s="2">
        <v>2018</v>
      </c>
      <c r="F104" s="2">
        <v>21</v>
      </c>
      <c r="G104" s="2"/>
      <c r="H104" s="19">
        <v>2017</v>
      </c>
      <c r="I104" s="2" t="s">
        <v>2</v>
      </c>
    </row>
    <row r="105" spans="2:9" x14ac:dyDescent="0.25">
      <c r="B105" s="2" t="s">
        <v>111</v>
      </c>
      <c r="C105" s="2">
        <v>17</v>
      </c>
      <c r="D105" s="2" t="s">
        <v>856</v>
      </c>
      <c r="E105" s="2">
        <v>2018</v>
      </c>
      <c r="F105" s="2">
        <v>13</v>
      </c>
      <c r="G105" s="2"/>
      <c r="H105" s="19">
        <v>23875</v>
      </c>
      <c r="I105" s="2" t="s">
        <v>3</v>
      </c>
    </row>
    <row r="106" spans="2:9" x14ac:dyDescent="0.25">
      <c r="B106" s="2" t="s">
        <v>112</v>
      </c>
      <c r="C106" s="2">
        <v>18</v>
      </c>
      <c r="D106" s="2" t="s">
        <v>856</v>
      </c>
      <c r="E106" s="2">
        <v>2018</v>
      </c>
      <c r="F106" s="2">
        <v>14</v>
      </c>
      <c r="G106" s="2"/>
      <c r="H106" s="19">
        <v>2018</v>
      </c>
      <c r="I106" s="2" t="s">
        <v>3</v>
      </c>
    </row>
    <row r="107" spans="2:9" x14ac:dyDescent="0.25">
      <c r="B107" s="2" t="s">
        <v>113</v>
      </c>
      <c r="C107" s="2">
        <v>19</v>
      </c>
      <c r="D107" s="2" t="s">
        <v>856</v>
      </c>
      <c r="E107" s="2">
        <v>2018</v>
      </c>
      <c r="F107" s="2">
        <v>19</v>
      </c>
      <c r="G107" s="2"/>
      <c r="H107" s="19">
        <v>2018</v>
      </c>
      <c r="I107" s="2" t="s">
        <v>2</v>
      </c>
    </row>
    <row r="108" spans="2:9" x14ac:dyDescent="0.25">
      <c r="B108" s="2" t="s">
        <v>114</v>
      </c>
      <c r="C108" s="2">
        <v>22</v>
      </c>
      <c r="D108" s="2" t="s">
        <v>856</v>
      </c>
      <c r="E108" s="2">
        <v>2018</v>
      </c>
      <c r="F108" s="2">
        <v>24</v>
      </c>
      <c r="G108" s="2"/>
      <c r="H108" s="19">
        <v>1942</v>
      </c>
      <c r="I108" s="2" t="s">
        <v>3</v>
      </c>
    </row>
    <row r="109" spans="2:9" x14ac:dyDescent="0.25">
      <c r="B109" s="2" t="s">
        <v>115</v>
      </c>
      <c r="C109" s="2">
        <v>22</v>
      </c>
      <c r="D109" s="2" t="s">
        <v>856</v>
      </c>
      <c r="E109" s="2">
        <v>2018</v>
      </c>
      <c r="F109" s="2">
        <v>4</v>
      </c>
      <c r="G109" s="2"/>
      <c r="H109" s="19">
        <v>2018</v>
      </c>
      <c r="I109" s="2" t="s">
        <v>2</v>
      </c>
    </row>
    <row r="110" spans="2:9" x14ac:dyDescent="0.25">
      <c r="B110" s="2" t="s">
        <v>116</v>
      </c>
      <c r="C110" s="2">
        <v>22</v>
      </c>
      <c r="D110" s="2" t="s">
        <v>856</v>
      </c>
      <c r="E110" s="2">
        <v>2018</v>
      </c>
      <c r="F110" s="2">
        <v>29</v>
      </c>
      <c r="G110" s="2"/>
      <c r="H110" s="19">
        <v>2017</v>
      </c>
      <c r="I110" s="2" t="s">
        <v>3</v>
      </c>
    </row>
    <row r="111" spans="2:9" x14ac:dyDescent="0.25">
      <c r="B111" s="2" t="s">
        <v>117</v>
      </c>
      <c r="C111" s="2">
        <v>22</v>
      </c>
      <c r="D111" s="2" t="s">
        <v>856</v>
      </c>
      <c r="E111" s="2">
        <v>2018</v>
      </c>
      <c r="F111" s="2">
        <v>21</v>
      </c>
      <c r="G111" s="2"/>
      <c r="H111" s="19">
        <v>2015</v>
      </c>
      <c r="I111" s="2" t="s">
        <v>2</v>
      </c>
    </row>
    <row r="112" spans="2:9" x14ac:dyDescent="0.25">
      <c r="B112" s="2" t="s">
        <v>118</v>
      </c>
      <c r="C112" s="2">
        <v>22</v>
      </c>
      <c r="D112" s="2" t="s">
        <v>856</v>
      </c>
      <c r="E112" s="2">
        <v>2018</v>
      </c>
      <c r="F112" s="2">
        <v>17</v>
      </c>
      <c r="G112" s="2"/>
      <c r="H112" s="19">
        <v>2018</v>
      </c>
      <c r="I112" s="2" t="s">
        <v>2</v>
      </c>
    </row>
    <row r="113" spans="2:9" x14ac:dyDescent="0.25">
      <c r="B113" s="2" t="s">
        <v>119</v>
      </c>
      <c r="C113" s="2">
        <v>22</v>
      </c>
      <c r="D113" s="2" t="s">
        <v>856</v>
      </c>
      <c r="E113" s="2">
        <v>2018</v>
      </c>
      <c r="F113" s="2">
        <v>19</v>
      </c>
      <c r="G113" s="2"/>
      <c r="H113" s="19">
        <v>2012</v>
      </c>
      <c r="I113" s="2" t="s">
        <v>2</v>
      </c>
    </row>
    <row r="114" spans="2:9" x14ac:dyDescent="0.25">
      <c r="B114" s="2" t="s">
        <v>120</v>
      </c>
      <c r="C114" s="2">
        <v>22</v>
      </c>
      <c r="D114" s="2" t="s">
        <v>856</v>
      </c>
      <c r="E114" s="2">
        <v>2018</v>
      </c>
      <c r="F114" s="2">
        <v>10</v>
      </c>
      <c r="G114" s="2"/>
      <c r="H114" s="19">
        <v>2010</v>
      </c>
      <c r="I114" s="2" t="s">
        <v>2</v>
      </c>
    </row>
    <row r="115" spans="2:9" x14ac:dyDescent="0.25">
      <c r="B115" s="2" t="s">
        <v>121</v>
      </c>
      <c r="C115" s="2">
        <v>25</v>
      </c>
      <c r="D115" s="2" t="s">
        <v>856</v>
      </c>
      <c r="E115" s="2">
        <v>2018</v>
      </c>
      <c r="F115" s="2">
        <v>9</v>
      </c>
      <c r="G115" s="2"/>
      <c r="H115" s="19">
        <v>2010</v>
      </c>
      <c r="I115" s="2" t="s">
        <v>3</v>
      </c>
    </row>
    <row r="116" spans="2:9" x14ac:dyDescent="0.25">
      <c r="B116" s="2" t="s">
        <v>122</v>
      </c>
      <c r="C116" s="2">
        <v>25</v>
      </c>
      <c r="D116" s="2" t="s">
        <v>856</v>
      </c>
      <c r="E116" s="2">
        <v>2018</v>
      </c>
      <c r="F116" s="2">
        <v>26</v>
      </c>
      <c r="G116" s="2"/>
      <c r="H116" s="19">
        <v>2017</v>
      </c>
      <c r="I116" s="2" t="s">
        <v>3</v>
      </c>
    </row>
    <row r="117" spans="2:9" x14ac:dyDescent="0.25">
      <c r="B117" s="2" t="s">
        <v>123</v>
      </c>
      <c r="C117" s="2">
        <v>25</v>
      </c>
      <c r="D117" s="2" t="s">
        <v>856</v>
      </c>
      <c r="E117" s="2">
        <v>2018</v>
      </c>
      <c r="F117" s="2">
        <v>22</v>
      </c>
      <c r="G117" s="2"/>
      <c r="H117" s="19">
        <v>2017</v>
      </c>
      <c r="I117" s="2" t="s">
        <v>2</v>
      </c>
    </row>
    <row r="118" spans="2:9" x14ac:dyDescent="0.25">
      <c r="B118" s="2" t="s">
        <v>124</v>
      </c>
      <c r="C118" s="2">
        <v>26</v>
      </c>
      <c r="D118" s="2" t="s">
        <v>856</v>
      </c>
      <c r="E118" s="2">
        <v>2018</v>
      </c>
      <c r="F118" s="2">
        <v>9</v>
      </c>
      <c r="G118" s="2"/>
      <c r="H118" s="19">
        <v>2018</v>
      </c>
      <c r="I118" s="2" t="s">
        <v>3</v>
      </c>
    </row>
    <row r="119" spans="2:9" x14ac:dyDescent="0.25">
      <c r="B119" s="2" t="s">
        <v>125</v>
      </c>
      <c r="C119" s="2">
        <v>26</v>
      </c>
      <c r="D119" s="2" t="s">
        <v>856</v>
      </c>
      <c r="E119" s="2">
        <v>2018</v>
      </c>
      <c r="F119" s="2">
        <v>8</v>
      </c>
      <c r="G119" s="2"/>
      <c r="H119" s="19">
        <v>2018</v>
      </c>
      <c r="I119" s="2" t="s">
        <v>3</v>
      </c>
    </row>
    <row r="120" spans="2:9" x14ac:dyDescent="0.25">
      <c r="B120" s="2" t="s">
        <v>126</v>
      </c>
      <c r="C120" s="2">
        <v>29</v>
      </c>
      <c r="D120" s="2" t="s">
        <v>856</v>
      </c>
      <c r="E120" s="2">
        <v>2018</v>
      </c>
      <c r="F120" s="2">
        <v>3</v>
      </c>
      <c r="G120" s="2"/>
      <c r="H120" s="19">
        <v>2018</v>
      </c>
      <c r="I120" s="2" t="s">
        <v>3</v>
      </c>
    </row>
    <row r="121" spans="2:9" x14ac:dyDescent="0.25">
      <c r="B121" s="2" t="s">
        <v>127</v>
      </c>
      <c r="C121" s="2">
        <v>29</v>
      </c>
      <c r="D121" s="2" t="s">
        <v>856</v>
      </c>
      <c r="E121" s="2">
        <v>2018</v>
      </c>
      <c r="F121" s="2">
        <v>2</v>
      </c>
      <c r="G121" s="2"/>
      <c r="H121" s="19">
        <v>2014</v>
      </c>
      <c r="I121" s="2" t="s">
        <v>3</v>
      </c>
    </row>
    <row r="122" spans="2:9" x14ac:dyDescent="0.25">
      <c r="B122" s="2" t="s">
        <v>128</v>
      </c>
      <c r="C122" s="2">
        <v>30</v>
      </c>
      <c r="D122" s="2" t="s">
        <v>856</v>
      </c>
      <c r="E122" s="2">
        <v>2018</v>
      </c>
      <c r="F122" s="2">
        <v>2</v>
      </c>
      <c r="G122" s="2"/>
      <c r="H122" s="19">
        <v>2017</v>
      </c>
      <c r="I122" s="2" t="s">
        <v>2</v>
      </c>
    </row>
    <row r="123" spans="2:9" x14ac:dyDescent="0.25">
      <c r="B123" s="2" t="s">
        <v>129</v>
      </c>
      <c r="C123" s="2">
        <v>31</v>
      </c>
      <c r="D123" s="2" t="s">
        <v>856</v>
      </c>
      <c r="E123" s="2">
        <v>2018</v>
      </c>
      <c r="F123" s="2">
        <v>12</v>
      </c>
      <c r="G123" s="2"/>
      <c r="H123" s="19">
        <v>1949</v>
      </c>
      <c r="I123" s="2" t="s">
        <v>3</v>
      </c>
    </row>
    <row r="124" spans="2:9" x14ac:dyDescent="0.25">
      <c r="B124" s="2" t="s">
        <v>130</v>
      </c>
      <c r="C124" s="2">
        <v>31</v>
      </c>
      <c r="D124" s="2" t="s">
        <v>856</v>
      </c>
      <c r="E124" s="2">
        <v>2018</v>
      </c>
      <c r="F124" s="2">
        <v>13</v>
      </c>
      <c r="G124" s="2"/>
      <c r="H124" s="19">
        <v>2015</v>
      </c>
      <c r="I124" s="2" t="s">
        <v>3</v>
      </c>
    </row>
    <row r="125" spans="2:9" x14ac:dyDescent="0.25">
      <c r="B125" s="2" t="s">
        <v>128</v>
      </c>
      <c r="C125" s="3">
        <v>1</v>
      </c>
      <c r="D125" s="2" t="s">
        <v>861</v>
      </c>
      <c r="E125" s="2">
        <v>2018</v>
      </c>
      <c r="F125" s="2">
        <v>21</v>
      </c>
      <c r="G125" s="2" t="s">
        <v>856</v>
      </c>
      <c r="H125" s="19">
        <v>2018</v>
      </c>
      <c r="I125" s="2" t="s">
        <v>2</v>
      </c>
    </row>
    <row r="126" spans="2:9" x14ac:dyDescent="0.25">
      <c r="B126" s="2" t="s">
        <v>129</v>
      </c>
      <c r="C126" s="3">
        <v>1</v>
      </c>
      <c r="D126" s="2" t="s">
        <v>861</v>
      </c>
      <c r="E126" s="2">
        <v>2018</v>
      </c>
      <c r="F126" s="3">
        <v>10</v>
      </c>
      <c r="G126" s="2" t="s">
        <v>856</v>
      </c>
      <c r="H126" s="19">
        <v>2018</v>
      </c>
      <c r="I126" s="2" t="s">
        <v>3</v>
      </c>
    </row>
    <row r="127" spans="2:9" x14ac:dyDescent="0.25">
      <c r="B127" s="2" t="s">
        <v>130</v>
      </c>
      <c r="C127" s="3">
        <v>2</v>
      </c>
      <c r="D127" s="2" t="s">
        <v>861</v>
      </c>
      <c r="E127" s="2">
        <v>2018</v>
      </c>
      <c r="F127" s="3">
        <v>26</v>
      </c>
      <c r="G127" s="2" t="s">
        <v>856</v>
      </c>
      <c r="H127" s="19">
        <v>2018</v>
      </c>
      <c r="I127" s="2" t="s">
        <v>3</v>
      </c>
    </row>
    <row r="128" spans="2:9" x14ac:dyDescent="0.25">
      <c r="B128" s="2" t="s">
        <v>128</v>
      </c>
      <c r="C128" s="3">
        <v>2</v>
      </c>
      <c r="D128" s="2" t="s">
        <v>861</v>
      </c>
      <c r="E128" s="2">
        <v>2018</v>
      </c>
      <c r="F128" s="3">
        <v>30</v>
      </c>
      <c r="G128" s="2" t="s">
        <v>856</v>
      </c>
      <c r="H128" s="19">
        <v>2018</v>
      </c>
      <c r="I128" s="2" t="s">
        <v>3</v>
      </c>
    </row>
    <row r="129" spans="2:9" x14ac:dyDescent="0.25">
      <c r="B129" s="2" t="s">
        <v>129</v>
      </c>
      <c r="C129" s="3">
        <v>2</v>
      </c>
      <c r="D129" s="2" t="s">
        <v>861</v>
      </c>
      <c r="E129" s="2">
        <v>2018</v>
      </c>
      <c r="F129" s="3">
        <v>18</v>
      </c>
      <c r="G129" s="2" t="s">
        <v>857</v>
      </c>
      <c r="H129" s="19">
        <v>2017</v>
      </c>
      <c r="I129" s="2" t="s">
        <v>2</v>
      </c>
    </row>
    <row r="130" spans="2:9" x14ac:dyDescent="0.25">
      <c r="B130" s="2" t="s">
        <v>130</v>
      </c>
      <c r="C130" s="3">
        <v>2</v>
      </c>
      <c r="D130" s="2" t="s">
        <v>861</v>
      </c>
      <c r="E130" s="2">
        <v>2018</v>
      </c>
      <c r="F130" s="3">
        <v>30</v>
      </c>
      <c r="G130" s="2" t="s">
        <v>858</v>
      </c>
      <c r="H130" s="19">
        <v>2006</v>
      </c>
      <c r="I130" s="2" t="s">
        <v>2</v>
      </c>
    </row>
    <row r="131" spans="2:9" x14ac:dyDescent="0.25">
      <c r="B131" s="2" t="s">
        <v>128</v>
      </c>
      <c r="C131" s="3">
        <v>2</v>
      </c>
      <c r="D131" s="2" t="s">
        <v>861</v>
      </c>
      <c r="E131" s="2">
        <v>2018</v>
      </c>
      <c r="F131" s="3">
        <v>29</v>
      </c>
      <c r="G131" s="2" t="s">
        <v>856</v>
      </c>
      <c r="H131" s="19">
        <v>1952</v>
      </c>
      <c r="I131" s="2" t="s">
        <v>2</v>
      </c>
    </row>
    <row r="132" spans="2:9" x14ac:dyDescent="0.25">
      <c r="B132" s="2" t="s">
        <v>129</v>
      </c>
      <c r="C132" s="3">
        <v>6</v>
      </c>
      <c r="D132" s="2" t="s">
        <v>861</v>
      </c>
      <c r="E132" s="2">
        <v>2018</v>
      </c>
      <c r="F132" s="3">
        <v>30</v>
      </c>
      <c r="G132" s="2" t="s">
        <v>870</v>
      </c>
      <c r="H132" s="19">
        <v>2017</v>
      </c>
      <c r="I132" s="2" t="s">
        <v>3</v>
      </c>
    </row>
    <row r="133" spans="2:9" x14ac:dyDescent="0.25">
      <c r="B133" s="2" t="s">
        <v>130</v>
      </c>
      <c r="C133" s="3">
        <v>6</v>
      </c>
      <c r="D133" s="2" t="s">
        <v>861</v>
      </c>
      <c r="E133" s="2">
        <v>2018</v>
      </c>
      <c r="F133" s="3">
        <v>24</v>
      </c>
      <c r="G133" s="2" t="s">
        <v>863</v>
      </c>
      <c r="H133" s="19">
        <v>2014</v>
      </c>
      <c r="I133" s="2" t="s">
        <v>3</v>
      </c>
    </row>
    <row r="134" spans="2:9" x14ac:dyDescent="0.25">
      <c r="B134" s="2" t="s">
        <v>128</v>
      </c>
      <c r="C134" s="3">
        <v>6</v>
      </c>
      <c r="D134" s="2" t="s">
        <v>861</v>
      </c>
      <c r="E134" s="2">
        <v>2018</v>
      </c>
      <c r="F134" s="3">
        <v>9</v>
      </c>
      <c r="G134" s="2" t="s">
        <v>866</v>
      </c>
      <c r="H134" s="19">
        <v>2017</v>
      </c>
      <c r="I134" s="2" t="s">
        <v>2</v>
      </c>
    </row>
    <row r="135" spans="2:9" x14ac:dyDescent="0.25">
      <c r="B135" s="2" t="s">
        <v>129</v>
      </c>
      <c r="C135" s="3">
        <v>6</v>
      </c>
      <c r="D135" s="2" t="s">
        <v>861</v>
      </c>
      <c r="E135" s="2">
        <v>2018</v>
      </c>
      <c r="F135" s="3">
        <v>14</v>
      </c>
      <c r="G135" s="2" t="s">
        <v>867</v>
      </c>
      <c r="H135" s="19">
        <v>1956</v>
      </c>
      <c r="I135" s="2" t="s">
        <v>2</v>
      </c>
    </row>
    <row r="136" spans="2:9" x14ac:dyDescent="0.25">
      <c r="B136" s="2" t="s">
        <v>130</v>
      </c>
      <c r="C136" s="3">
        <v>6</v>
      </c>
      <c r="D136" s="2" t="s">
        <v>861</v>
      </c>
      <c r="E136" s="2">
        <v>2018</v>
      </c>
      <c r="F136" s="3">
        <v>6</v>
      </c>
      <c r="G136" s="2" t="s">
        <v>858</v>
      </c>
      <c r="H136" s="19">
        <v>2016</v>
      </c>
      <c r="I136" s="2" t="s">
        <v>2</v>
      </c>
    </row>
    <row r="137" spans="2:9" x14ac:dyDescent="0.25">
      <c r="B137" s="2" t="s">
        <v>128</v>
      </c>
      <c r="C137" s="3">
        <v>9</v>
      </c>
      <c r="D137" s="2" t="s">
        <v>861</v>
      </c>
      <c r="E137" s="2">
        <v>2018</v>
      </c>
      <c r="F137" s="3">
        <v>13</v>
      </c>
      <c r="G137" s="2" t="s">
        <v>856</v>
      </c>
      <c r="H137" s="19">
        <v>2018</v>
      </c>
      <c r="I137" s="2" t="s">
        <v>3</v>
      </c>
    </row>
    <row r="138" spans="2:9" x14ac:dyDescent="0.25">
      <c r="B138" s="2" t="s">
        <v>129</v>
      </c>
      <c r="C138" s="3">
        <v>9</v>
      </c>
      <c r="D138" s="2" t="s">
        <v>861</v>
      </c>
      <c r="E138" s="2">
        <v>2018</v>
      </c>
      <c r="F138" s="3">
        <v>15</v>
      </c>
      <c r="G138" s="2" t="s">
        <v>856</v>
      </c>
      <c r="H138" s="19">
        <v>2018</v>
      </c>
      <c r="I138" s="2" t="s">
        <v>2</v>
      </c>
    </row>
    <row r="139" spans="2:9" x14ac:dyDescent="0.25">
      <c r="B139" s="2" t="s">
        <v>130</v>
      </c>
      <c r="C139" s="3">
        <v>9</v>
      </c>
      <c r="D139" s="2" t="s">
        <v>861</v>
      </c>
      <c r="E139" s="2">
        <v>2018</v>
      </c>
      <c r="F139" s="3">
        <v>12</v>
      </c>
      <c r="G139" s="2" t="s">
        <v>863</v>
      </c>
      <c r="H139" s="19">
        <v>2017</v>
      </c>
      <c r="I139" s="2" t="s">
        <v>2</v>
      </c>
    </row>
    <row r="140" spans="2:9" x14ac:dyDescent="0.25">
      <c r="B140" s="2" t="s">
        <v>128</v>
      </c>
      <c r="C140" s="3">
        <v>9</v>
      </c>
      <c r="D140" s="2" t="s">
        <v>861</v>
      </c>
      <c r="E140" s="2">
        <v>2018</v>
      </c>
      <c r="F140" s="3">
        <v>15</v>
      </c>
      <c r="G140" s="2" t="s">
        <v>861</v>
      </c>
      <c r="H140" s="19">
        <v>2001</v>
      </c>
      <c r="I140" s="2" t="s">
        <v>3</v>
      </c>
    </row>
    <row r="141" spans="2:9" x14ac:dyDescent="0.25">
      <c r="B141" s="2" t="s">
        <v>129</v>
      </c>
      <c r="C141" s="3">
        <v>12</v>
      </c>
      <c r="D141" s="2" t="s">
        <v>861</v>
      </c>
      <c r="E141" s="2">
        <v>2018</v>
      </c>
      <c r="F141" s="3">
        <v>10</v>
      </c>
      <c r="G141" s="2" t="s">
        <v>868</v>
      </c>
      <c r="H141" s="19">
        <v>2014</v>
      </c>
      <c r="I141" s="2" t="s">
        <v>3</v>
      </c>
    </row>
    <row r="142" spans="2:9" x14ac:dyDescent="0.25">
      <c r="B142" s="2" t="s">
        <v>130</v>
      </c>
      <c r="C142" s="3">
        <v>12</v>
      </c>
      <c r="D142" s="2" t="s">
        <v>861</v>
      </c>
      <c r="E142" s="2">
        <v>2018</v>
      </c>
      <c r="F142" s="3">
        <v>13</v>
      </c>
      <c r="G142" s="2" t="s">
        <v>856</v>
      </c>
      <c r="H142" s="19">
        <v>2003</v>
      </c>
      <c r="I142" s="2" t="s">
        <v>2</v>
      </c>
    </row>
    <row r="143" spans="2:9" x14ac:dyDescent="0.25">
      <c r="B143" s="2" t="s">
        <v>128</v>
      </c>
      <c r="C143" s="3">
        <v>12</v>
      </c>
      <c r="D143" s="2" t="s">
        <v>861</v>
      </c>
      <c r="E143" s="2">
        <v>2018</v>
      </c>
      <c r="F143" s="3">
        <v>21</v>
      </c>
      <c r="G143" s="2" t="s">
        <v>870</v>
      </c>
      <c r="H143" s="19">
        <v>2017</v>
      </c>
      <c r="I143" s="2" t="s">
        <v>2</v>
      </c>
    </row>
    <row r="144" spans="2:9" x14ac:dyDescent="0.25">
      <c r="B144" s="2" t="s">
        <v>129</v>
      </c>
      <c r="C144" s="3">
        <v>13</v>
      </c>
      <c r="D144" s="2" t="s">
        <v>861</v>
      </c>
      <c r="E144" s="2">
        <v>2018</v>
      </c>
      <c r="F144" s="3">
        <v>28</v>
      </c>
      <c r="G144" s="2" t="s">
        <v>856</v>
      </c>
      <c r="H144" s="19">
        <v>2018</v>
      </c>
      <c r="I144" s="2" t="s">
        <v>2</v>
      </c>
    </row>
    <row r="145" spans="2:9" x14ac:dyDescent="0.25">
      <c r="B145" s="2" t="s">
        <v>130</v>
      </c>
      <c r="C145" s="3">
        <v>13</v>
      </c>
      <c r="D145" s="2" t="s">
        <v>861</v>
      </c>
      <c r="E145" s="2">
        <v>2018</v>
      </c>
      <c r="F145" s="3">
        <v>24</v>
      </c>
      <c r="G145" s="2" t="s">
        <v>856</v>
      </c>
      <c r="H145" s="19">
        <v>2018</v>
      </c>
      <c r="I145" s="2" t="s">
        <v>3</v>
      </c>
    </row>
    <row r="146" spans="2:9" x14ac:dyDescent="0.25">
      <c r="B146" s="2" t="s">
        <v>128</v>
      </c>
      <c r="C146" s="3">
        <v>13</v>
      </c>
      <c r="D146" s="2" t="s">
        <v>861</v>
      </c>
      <c r="E146" s="2">
        <v>2018</v>
      </c>
      <c r="F146" s="3">
        <v>8</v>
      </c>
      <c r="G146" s="2" t="s">
        <v>867</v>
      </c>
      <c r="H146" s="19">
        <v>2015</v>
      </c>
      <c r="I146" s="2" t="s">
        <v>2</v>
      </c>
    </row>
    <row r="147" spans="2:9" x14ac:dyDescent="0.25">
      <c r="B147" s="2" t="s">
        <v>129</v>
      </c>
      <c r="C147" s="3">
        <v>13</v>
      </c>
      <c r="D147" s="2" t="s">
        <v>861</v>
      </c>
      <c r="E147" s="2">
        <v>2018</v>
      </c>
      <c r="F147" s="3">
        <v>19</v>
      </c>
      <c r="G147" s="2" t="s">
        <v>856</v>
      </c>
      <c r="H147" s="19">
        <v>2018</v>
      </c>
      <c r="I147" s="2" t="s">
        <v>2</v>
      </c>
    </row>
    <row r="148" spans="2:9" x14ac:dyDescent="0.25">
      <c r="B148" s="2" t="s">
        <v>130</v>
      </c>
      <c r="C148" s="3">
        <v>15</v>
      </c>
      <c r="D148" s="2" t="s">
        <v>861</v>
      </c>
      <c r="E148" s="2">
        <v>2018</v>
      </c>
      <c r="F148" s="3">
        <v>7</v>
      </c>
      <c r="G148" s="2" t="s">
        <v>870</v>
      </c>
      <c r="H148" s="19">
        <v>2016</v>
      </c>
      <c r="I148" s="2" t="s">
        <v>2</v>
      </c>
    </row>
    <row r="149" spans="2:9" x14ac:dyDescent="0.25">
      <c r="B149" s="2" t="s">
        <v>128</v>
      </c>
      <c r="C149" s="3">
        <v>15</v>
      </c>
      <c r="D149" s="2" t="s">
        <v>861</v>
      </c>
      <c r="E149" s="2">
        <v>2018</v>
      </c>
      <c r="F149" s="3">
        <v>22</v>
      </c>
      <c r="G149" s="2" t="s">
        <v>856</v>
      </c>
      <c r="H149" s="19">
        <v>1971</v>
      </c>
      <c r="I149" s="2" t="s">
        <v>3</v>
      </c>
    </row>
    <row r="150" spans="2:9" x14ac:dyDescent="0.25">
      <c r="B150" s="2" t="s">
        <v>129</v>
      </c>
      <c r="C150" s="3">
        <v>15</v>
      </c>
      <c r="D150" s="2" t="s">
        <v>861</v>
      </c>
      <c r="E150" s="2">
        <v>2018</v>
      </c>
      <c r="F150" s="3">
        <v>3</v>
      </c>
      <c r="G150" s="2" t="s">
        <v>865</v>
      </c>
      <c r="H150" s="19">
        <v>2014</v>
      </c>
      <c r="I150" s="2" t="s">
        <v>2</v>
      </c>
    </row>
    <row r="151" spans="2:9" x14ac:dyDescent="0.25">
      <c r="B151" s="2" t="s">
        <v>130</v>
      </c>
      <c r="C151" s="3">
        <v>15</v>
      </c>
      <c r="D151" s="2" t="s">
        <v>861</v>
      </c>
      <c r="E151" s="2">
        <v>2018</v>
      </c>
      <c r="F151" s="3">
        <v>24</v>
      </c>
      <c r="G151" s="2" t="s">
        <v>856</v>
      </c>
      <c r="H151" s="19">
        <v>2018</v>
      </c>
      <c r="I151" s="2" t="s">
        <v>3</v>
      </c>
    </row>
    <row r="152" spans="2:9" x14ac:dyDescent="0.25">
      <c r="B152" s="2" t="s">
        <v>128</v>
      </c>
      <c r="C152" s="3">
        <v>15</v>
      </c>
      <c r="D152" s="2" t="s">
        <v>861</v>
      </c>
      <c r="E152" s="2">
        <v>2018</v>
      </c>
      <c r="F152" s="3">
        <v>10</v>
      </c>
      <c r="G152" s="2" t="s">
        <v>858</v>
      </c>
      <c r="H152" s="19">
        <v>2017</v>
      </c>
      <c r="I152" s="2" t="s">
        <v>2</v>
      </c>
    </row>
    <row r="153" spans="2:9" x14ac:dyDescent="0.25">
      <c r="B153" s="2" t="s">
        <v>129</v>
      </c>
      <c r="C153" s="3">
        <v>15</v>
      </c>
      <c r="D153" s="2" t="s">
        <v>861</v>
      </c>
      <c r="E153" s="2">
        <v>2018</v>
      </c>
      <c r="F153" s="3">
        <v>22</v>
      </c>
      <c r="G153" s="2" t="s">
        <v>864</v>
      </c>
      <c r="H153" s="19">
        <v>1950</v>
      </c>
      <c r="I153" s="2" t="s">
        <v>2</v>
      </c>
    </row>
    <row r="154" spans="2:9" x14ac:dyDescent="0.25">
      <c r="B154" s="2" t="s">
        <v>130</v>
      </c>
      <c r="C154" s="3">
        <v>16</v>
      </c>
      <c r="D154" s="2" t="s">
        <v>861</v>
      </c>
      <c r="E154" s="2">
        <v>2018</v>
      </c>
      <c r="F154" s="3">
        <v>4</v>
      </c>
      <c r="G154" s="2" t="s">
        <v>866</v>
      </c>
      <c r="H154" s="19">
        <v>2017</v>
      </c>
      <c r="I154" s="2" t="s">
        <v>3</v>
      </c>
    </row>
    <row r="155" spans="2:9" x14ac:dyDescent="0.25">
      <c r="B155" s="2" t="s">
        <v>128</v>
      </c>
      <c r="C155" s="3">
        <v>16</v>
      </c>
      <c r="D155" s="2" t="s">
        <v>861</v>
      </c>
      <c r="E155" s="2">
        <v>2018</v>
      </c>
      <c r="F155" s="3">
        <v>20</v>
      </c>
      <c r="G155" s="2" t="s">
        <v>856</v>
      </c>
      <c r="H155" s="19">
        <v>2018</v>
      </c>
      <c r="I155" s="2" t="s">
        <v>2</v>
      </c>
    </row>
    <row r="156" spans="2:9" x14ac:dyDescent="0.25">
      <c r="B156" s="2" t="s">
        <v>129</v>
      </c>
      <c r="C156" s="3">
        <v>19</v>
      </c>
      <c r="D156" s="2" t="s">
        <v>861</v>
      </c>
      <c r="E156" s="2">
        <v>2018</v>
      </c>
      <c r="F156" s="3">
        <v>4</v>
      </c>
      <c r="G156" s="2" t="s">
        <v>857</v>
      </c>
      <c r="H156" s="19">
        <v>2017</v>
      </c>
      <c r="I156" s="2" t="s">
        <v>3</v>
      </c>
    </row>
    <row r="157" spans="2:9" x14ac:dyDescent="0.25">
      <c r="B157" s="2" t="s">
        <v>130</v>
      </c>
      <c r="C157" s="3">
        <v>19</v>
      </c>
      <c r="D157" s="2" t="s">
        <v>861</v>
      </c>
      <c r="E157" s="2">
        <v>2018</v>
      </c>
      <c r="F157" s="3">
        <v>31</v>
      </c>
      <c r="G157" s="2" t="s">
        <v>856</v>
      </c>
      <c r="H157" s="19">
        <v>2018</v>
      </c>
      <c r="I157" s="2" t="s">
        <v>3</v>
      </c>
    </row>
    <row r="158" spans="2:9" x14ac:dyDescent="0.25">
      <c r="B158" s="2" t="s">
        <v>128</v>
      </c>
      <c r="C158" s="3">
        <v>20</v>
      </c>
      <c r="D158" s="2" t="s">
        <v>861</v>
      </c>
      <c r="E158" s="2">
        <v>2018</v>
      </c>
      <c r="F158" s="3">
        <v>27</v>
      </c>
      <c r="G158" s="2" t="s">
        <v>857</v>
      </c>
      <c r="H158" s="19">
        <v>2015</v>
      </c>
      <c r="I158" s="2" t="s">
        <v>3</v>
      </c>
    </row>
    <row r="159" spans="2:9" x14ac:dyDescent="0.25">
      <c r="B159" s="2" t="s">
        <v>129</v>
      </c>
      <c r="C159" s="3">
        <v>20</v>
      </c>
      <c r="D159" s="2" t="s">
        <v>861</v>
      </c>
      <c r="E159" s="2">
        <v>2018</v>
      </c>
      <c r="F159" s="3">
        <v>4</v>
      </c>
      <c r="G159" s="2" t="s">
        <v>856</v>
      </c>
      <c r="H159" s="19">
        <v>2018</v>
      </c>
      <c r="I159" s="2" t="s">
        <v>3</v>
      </c>
    </row>
    <row r="160" spans="2:9" x14ac:dyDescent="0.25">
      <c r="B160" s="2" t="s">
        <v>130</v>
      </c>
      <c r="C160" s="3">
        <v>20</v>
      </c>
      <c r="D160" s="2" t="s">
        <v>861</v>
      </c>
      <c r="E160" s="2">
        <v>2018</v>
      </c>
      <c r="F160" s="3">
        <v>19</v>
      </c>
      <c r="G160" s="2" t="s">
        <v>856</v>
      </c>
      <c r="H160" s="19">
        <v>2018</v>
      </c>
      <c r="I160" s="2" t="s">
        <v>3</v>
      </c>
    </row>
    <row r="161" spans="2:9" x14ac:dyDescent="0.25">
      <c r="B161" s="2" t="s">
        <v>128</v>
      </c>
      <c r="C161" s="3">
        <v>20</v>
      </c>
      <c r="D161" s="2" t="s">
        <v>861</v>
      </c>
      <c r="E161" s="2">
        <v>2018</v>
      </c>
      <c r="F161" s="3">
        <v>23</v>
      </c>
      <c r="G161" s="2" t="s">
        <v>856</v>
      </c>
      <c r="H161" s="19">
        <v>2018</v>
      </c>
      <c r="I161" s="2" t="s">
        <v>2</v>
      </c>
    </row>
    <row r="162" spans="2:9" x14ac:dyDescent="0.25">
      <c r="B162" s="2" t="s">
        <v>129</v>
      </c>
      <c r="C162" s="3">
        <v>20</v>
      </c>
      <c r="D162" s="2" t="s">
        <v>861</v>
      </c>
      <c r="E162" s="2">
        <v>2018</v>
      </c>
      <c r="F162" s="3">
        <v>13</v>
      </c>
      <c r="G162" s="2" t="s">
        <v>857</v>
      </c>
      <c r="H162" s="19">
        <v>2012</v>
      </c>
      <c r="I162" s="2" t="s">
        <v>3</v>
      </c>
    </row>
    <row r="163" spans="2:9" x14ac:dyDescent="0.25">
      <c r="B163" s="2" t="s">
        <v>130</v>
      </c>
      <c r="C163" s="3">
        <v>20</v>
      </c>
      <c r="D163" s="2" t="s">
        <v>861</v>
      </c>
      <c r="E163" s="2">
        <v>2018</v>
      </c>
      <c r="F163" s="3">
        <v>15</v>
      </c>
      <c r="G163" s="2" t="s">
        <v>867</v>
      </c>
      <c r="H163" s="19">
        <v>2017</v>
      </c>
      <c r="I163" s="2" t="s">
        <v>2</v>
      </c>
    </row>
    <row r="164" spans="2:9" x14ac:dyDescent="0.25">
      <c r="B164" s="2" t="s">
        <v>128</v>
      </c>
      <c r="C164" s="3">
        <v>20</v>
      </c>
      <c r="D164" s="2" t="s">
        <v>861</v>
      </c>
      <c r="E164" s="2">
        <v>2018</v>
      </c>
      <c r="F164" s="3">
        <v>14</v>
      </c>
      <c r="G164" s="2" t="s">
        <v>856</v>
      </c>
      <c r="H164" s="19">
        <v>2018</v>
      </c>
      <c r="I164" s="2" t="s">
        <v>2</v>
      </c>
    </row>
    <row r="165" spans="2:9" x14ac:dyDescent="0.25">
      <c r="B165" s="2" t="s">
        <v>129</v>
      </c>
      <c r="C165" s="3">
        <v>21</v>
      </c>
      <c r="D165" s="2" t="s">
        <v>861</v>
      </c>
      <c r="E165" s="2">
        <v>2018</v>
      </c>
      <c r="F165" s="3">
        <v>2</v>
      </c>
      <c r="G165" s="2" t="s">
        <v>865</v>
      </c>
      <c r="H165" s="19">
        <v>2013</v>
      </c>
      <c r="I165" s="2" t="s">
        <v>2</v>
      </c>
    </row>
    <row r="166" spans="2:9" x14ac:dyDescent="0.25">
      <c r="B166" s="2" t="s">
        <v>130</v>
      </c>
      <c r="C166" s="3">
        <v>21</v>
      </c>
      <c r="D166" s="2" t="s">
        <v>861</v>
      </c>
      <c r="E166" s="2">
        <v>2018</v>
      </c>
      <c r="F166" s="3">
        <v>19</v>
      </c>
      <c r="G166" s="2" t="s">
        <v>856</v>
      </c>
      <c r="H166" s="19">
        <v>2018</v>
      </c>
      <c r="I166" s="2" t="s">
        <v>2</v>
      </c>
    </row>
    <row r="167" spans="2:9" x14ac:dyDescent="0.25">
      <c r="B167" s="2" t="s">
        <v>128</v>
      </c>
      <c r="C167" s="3">
        <v>21</v>
      </c>
      <c r="D167" s="2" t="s">
        <v>861</v>
      </c>
      <c r="E167" s="2">
        <v>2018</v>
      </c>
      <c r="F167" s="3">
        <v>4</v>
      </c>
      <c r="G167" s="2" t="s">
        <v>861</v>
      </c>
      <c r="H167" s="19">
        <v>2018</v>
      </c>
      <c r="I167" s="2" t="s">
        <v>2</v>
      </c>
    </row>
    <row r="168" spans="2:9" x14ac:dyDescent="0.25">
      <c r="B168" s="2" t="s">
        <v>129</v>
      </c>
      <c r="C168" s="3">
        <v>21</v>
      </c>
      <c r="D168" s="2" t="s">
        <v>861</v>
      </c>
      <c r="E168" s="2">
        <v>2018</v>
      </c>
      <c r="F168" s="3">
        <v>24</v>
      </c>
      <c r="G168" s="2" t="s">
        <v>856</v>
      </c>
      <c r="H168" s="19">
        <v>2018</v>
      </c>
      <c r="I168" s="2" t="s">
        <v>2</v>
      </c>
    </row>
    <row r="169" spans="2:9" x14ac:dyDescent="0.25">
      <c r="B169" s="2" t="s">
        <v>130</v>
      </c>
      <c r="C169" s="3">
        <v>21</v>
      </c>
      <c r="D169" s="2" t="s">
        <v>861</v>
      </c>
      <c r="E169" s="2">
        <v>2018</v>
      </c>
      <c r="F169" s="3">
        <v>28</v>
      </c>
      <c r="G169" s="2" t="s">
        <v>869</v>
      </c>
      <c r="H169" s="19">
        <v>2014</v>
      </c>
      <c r="I169" s="2" t="s">
        <v>3</v>
      </c>
    </row>
    <row r="170" spans="2:9" x14ac:dyDescent="0.25">
      <c r="B170" s="2" t="s">
        <v>128</v>
      </c>
      <c r="C170" s="3">
        <v>21</v>
      </c>
      <c r="D170" s="2" t="s">
        <v>861</v>
      </c>
      <c r="E170" s="2">
        <v>2018</v>
      </c>
      <c r="F170" s="3">
        <v>12</v>
      </c>
      <c r="G170" s="2" t="s">
        <v>857</v>
      </c>
      <c r="H170" s="19">
        <v>2017</v>
      </c>
      <c r="I170" s="2" t="s">
        <v>2</v>
      </c>
    </row>
    <row r="171" spans="2:9" x14ac:dyDescent="0.25">
      <c r="B171" s="2" t="s">
        <v>129</v>
      </c>
      <c r="C171" s="3">
        <v>21</v>
      </c>
      <c r="D171" s="2" t="s">
        <v>861</v>
      </c>
      <c r="E171" s="2">
        <v>2018</v>
      </c>
      <c r="F171" s="3">
        <v>19</v>
      </c>
      <c r="G171" s="2" t="s">
        <v>864</v>
      </c>
      <c r="H171" s="19">
        <v>1960</v>
      </c>
      <c r="I171" s="2" t="s">
        <v>2</v>
      </c>
    </row>
    <row r="172" spans="2:9" x14ac:dyDescent="0.25">
      <c r="B172" s="2" t="s">
        <v>130</v>
      </c>
      <c r="C172" s="3">
        <v>21</v>
      </c>
      <c r="D172" s="2" t="s">
        <v>861</v>
      </c>
      <c r="E172" s="2">
        <v>2018</v>
      </c>
      <c r="F172" s="3">
        <v>19</v>
      </c>
      <c r="G172" s="2" t="s">
        <v>857</v>
      </c>
      <c r="H172" s="19">
        <v>1950</v>
      </c>
      <c r="I172" s="2" t="s">
        <v>3</v>
      </c>
    </row>
    <row r="173" spans="2:9" x14ac:dyDescent="0.25">
      <c r="B173" s="2" t="s">
        <v>128</v>
      </c>
      <c r="C173" s="3">
        <v>23</v>
      </c>
      <c r="D173" s="2" t="s">
        <v>861</v>
      </c>
      <c r="E173" s="2">
        <v>2018</v>
      </c>
      <c r="F173" s="3">
        <v>22</v>
      </c>
      <c r="G173" s="2" t="s">
        <v>856</v>
      </c>
      <c r="H173" s="19">
        <v>2018</v>
      </c>
      <c r="I173" s="2" t="s">
        <v>2</v>
      </c>
    </row>
    <row r="174" spans="2:9" x14ac:dyDescent="0.25">
      <c r="B174" s="2" t="s">
        <v>129</v>
      </c>
      <c r="C174" s="3">
        <v>23</v>
      </c>
      <c r="D174" s="2" t="s">
        <v>861</v>
      </c>
      <c r="E174" s="2">
        <v>2018</v>
      </c>
      <c r="F174" s="3">
        <v>2</v>
      </c>
      <c r="G174" s="2" t="s">
        <v>869</v>
      </c>
      <c r="H174" s="19">
        <v>1946</v>
      </c>
      <c r="I174" s="2" t="s">
        <v>2</v>
      </c>
    </row>
    <row r="175" spans="2:9" x14ac:dyDescent="0.25">
      <c r="B175" s="2" t="s">
        <v>130</v>
      </c>
      <c r="C175" s="3">
        <v>23</v>
      </c>
      <c r="D175" s="2" t="s">
        <v>861</v>
      </c>
      <c r="E175" s="2">
        <v>2018</v>
      </c>
      <c r="F175" s="3">
        <v>9</v>
      </c>
      <c r="G175" s="2" t="s">
        <v>861</v>
      </c>
      <c r="H175" s="19">
        <v>2018</v>
      </c>
      <c r="I175" s="2" t="s">
        <v>2</v>
      </c>
    </row>
    <row r="176" spans="2:9" x14ac:dyDescent="0.25">
      <c r="B176" s="2" t="s">
        <v>128</v>
      </c>
      <c r="C176" s="3">
        <v>23</v>
      </c>
      <c r="D176" s="2" t="s">
        <v>861</v>
      </c>
      <c r="E176" s="2">
        <v>2018</v>
      </c>
      <c r="F176" s="3">
        <v>23</v>
      </c>
      <c r="G176" s="2" t="s">
        <v>868</v>
      </c>
      <c r="H176" s="19">
        <v>1950</v>
      </c>
      <c r="I176" s="2" t="s">
        <v>3</v>
      </c>
    </row>
    <row r="177" spans="2:9" x14ac:dyDescent="0.25">
      <c r="B177" s="2" t="s">
        <v>129</v>
      </c>
      <c r="C177" s="3">
        <v>23</v>
      </c>
      <c r="D177" s="2" t="s">
        <v>861</v>
      </c>
      <c r="E177" s="2">
        <v>2018</v>
      </c>
      <c r="F177" s="3">
        <v>30</v>
      </c>
      <c r="G177" s="2" t="s">
        <v>870</v>
      </c>
      <c r="H177" s="19">
        <v>1956</v>
      </c>
      <c r="I177" s="2" t="s">
        <v>3</v>
      </c>
    </row>
    <row r="178" spans="2:9" x14ac:dyDescent="0.25">
      <c r="B178" s="2" t="s">
        <v>130</v>
      </c>
      <c r="C178" s="3">
        <v>23</v>
      </c>
      <c r="D178" s="2" t="s">
        <v>861</v>
      </c>
      <c r="E178" s="2">
        <v>2018</v>
      </c>
      <c r="F178" s="3">
        <v>6</v>
      </c>
      <c r="G178" s="2" t="s">
        <v>865</v>
      </c>
      <c r="H178" s="19">
        <v>1952</v>
      </c>
      <c r="I178" s="2" t="s">
        <v>3</v>
      </c>
    </row>
    <row r="179" spans="2:9" x14ac:dyDescent="0.25">
      <c r="B179" s="2" t="s">
        <v>128</v>
      </c>
      <c r="C179" s="3">
        <v>23</v>
      </c>
      <c r="D179" s="2" t="s">
        <v>861</v>
      </c>
      <c r="E179" s="2">
        <v>2018</v>
      </c>
      <c r="F179" s="3">
        <v>17</v>
      </c>
      <c r="G179" s="2" t="s">
        <v>867</v>
      </c>
      <c r="H179" s="19">
        <v>1959</v>
      </c>
      <c r="I179" s="2" t="s">
        <v>3</v>
      </c>
    </row>
    <row r="180" spans="2:9" x14ac:dyDescent="0.25">
      <c r="B180" s="2" t="s">
        <v>129</v>
      </c>
      <c r="C180" s="3">
        <v>23</v>
      </c>
      <c r="D180" s="2" t="s">
        <v>861</v>
      </c>
      <c r="E180" s="2">
        <v>2018</v>
      </c>
      <c r="F180" s="3">
        <v>1</v>
      </c>
      <c r="G180" s="2" t="s">
        <v>858</v>
      </c>
      <c r="H180" s="19">
        <v>1960</v>
      </c>
      <c r="I180" s="2" t="s">
        <v>2</v>
      </c>
    </row>
    <row r="181" spans="2:9" x14ac:dyDescent="0.25">
      <c r="B181" s="2" t="s">
        <v>130</v>
      </c>
      <c r="C181" s="3">
        <v>23</v>
      </c>
      <c r="D181" s="2" t="s">
        <v>861</v>
      </c>
      <c r="E181" s="2">
        <v>2018</v>
      </c>
      <c r="F181" s="3">
        <v>14</v>
      </c>
      <c r="G181" s="2" t="s">
        <v>868</v>
      </c>
      <c r="H181" s="19">
        <v>2004</v>
      </c>
      <c r="I181" s="2" t="s">
        <v>2</v>
      </c>
    </row>
    <row r="182" spans="2:9" x14ac:dyDescent="0.25">
      <c r="B182" s="2" t="s">
        <v>128</v>
      </c>
      <c r="C182" s="3">
        <v>23</v>
      </c>
      <c r="D182" s="2" t="s">
        <v>861</v>
      </c>
      <c r="E182" s="2">
        <v>2018</v>
      </c>
      <c r="F182" s="3">
        <v>5</v>
      </c>
      <c r="G182" s="2" t="s">
        <v>869</v>
      </c>
      <c r="H182" s="19">
        <v>1961</v>
      </c>
      <c r="I182" s="2" t="s">
        <v>2</v>
      </c>
    </row>
    <row r="183" spans="2:9" x14ac:dyDescent="0.25">
      <c r="B183" s="2" t="s">
        <v>129</v>
      </c>
      <c r="C183" s="3">
        <v>23</v>
      </c>
      <c r="D183" s="2" t="s">
        <v>861</v>
      </c>
      <c r="E183" s="2">
        <v>2018</v>
      </c>
      <c r="F183" s="3">
        <v>29</v>
      </c>
      <c r="G183" s="2" t="s">
        <v>863</v>
      </c>
      <c r="H183" s="19">
        <v>2017</v>
      </c>
      <c r="I183" s="2" t="s">
        <v>2</v>
      </c>
    </row>
    <row r="184" spans="2:9" x14ac:dyDescent="0.25">
      <c r="B184" s="2" t="s">
        <v>130</v>
      </c>
      <c r="C184" s="3">
        <v>26</v>
      </c>
      <c r="D184" s="2" t="s">
        <v>861</v>
      </c>
      <c r="E184" s="2">
        <v>2018</v>
      </c>
      <c r="F184" s="3">
        <v>6</v>
      </c>
      <c r="G184" s="2" t="s">
        <v>857</v>
      </c>
      <c r="H184" s="19">
        <v>2017</v>
      </c>
      <c r="I184" s="2" t="s">
        <v>3</v>
      </c>
    </row>
    <row r="185" spans="2:9" x14ac:dyDescent="0.25">
      <c r="B185" s="2" t="s">
        <v>128</v>
      </c>
      <c r="C185" s="3">
        <v>26</v>
      </c>
      <c r="D185" s="2" t="s">
        <v>861</v>
      </c>
      <c r="E185" s="2">
        <v>2018</v>
      </c>
      <c r="F185" s="3">
        <v>26</v>
      </c>
      <c r="G185" s="2" t="s">
        <v>864</v>
      </c>
      <c r="H185" s="19">
        <v>20001</v>
      </c>
      <c r="I185" s="2" t="s">
        <v>2</v>
      </c>
    </row>
    <row r="186" spans="2:9" x14ac:dyDescent="0.25">
      <c r="B186" s="2" t="s">
        <v>129</v>
      </c>
      <c r="C186" s="3">
        <v>26</v>
      </c>
      <c r="D186" s="2" t="s">
        <v>861</v>
      </c>
      <c r="E186" s="2">
        <v>2018</v>
      </c>
      <c r="F186" s="3">
        <v>23</v>
      </c>
      <c r="G186" s="2" t="s">
        <v>868</v>
      </c>
      <c r="H186" s="19">
        <v>1999</v>
      </c>
      <c r="I186" s="2" t="s">
        <v>2</v>
      </c>
    </row>
    <row r="187" spans="2:9" x14ac:dyDescent="0.25">
      <c r="B187" s="2" t="s">
        <v>130</v>
      </c>
      <c r="C187" s="3">
        <v>26</v>
      </c>
      <c r="D187" s="2" t="s">
        <v>861</v>
      </c>
      <c r="E187" s="2">
        <v>2018</v>
      </c>
      <c r="F187" s="3">
        <v>22</v>
      </c>
      <c r="G187" s="2" t="s">
        <v>869</v>
      </c>
      <c r="H187" s="19">
        <v>1943</v>
      </c>
      <c r="I187" s="2" t="s">
        <v>3</v>
      </c>
    </row>
    <row r="188" spans="2:9" x14ac:dyDescent="0.25">
      <c r="B188" s="2" t="s">
        <v>128</v>
      </c>
      <c r="C188" s="3">
        <v>26</v>
      </c>
      <c r="D188" s="2" t="s">
        <v>861</v>
      </c>
      <c r="E188" s="2">
        <v>2018</v>
      </c>
      <c r="F188" s="3">
        <v>18</v>
      </c>
      <c r="G188" s="2" t="s">
        <v>856</v>
      </c>
      <c r="H188" s="19">
        <v>1952</v>
      </c>
      <c r="I188" s="2" t="s">
        <v>2</v>
      </c>
    </row>
    <row r="189" spans="2:9" x14ac:dyDescent="0.25">
      <c r="B189" s="2" t="s">
        <v>129</v>
      </c>
      <c r="C189" s="3">
        <v>26</v>
      </c>
      <c r="D189" s="2" t="s">
        <v>861</v>
      </c>
      <c r="E189" s="2">
        <v>2018</v>
      </c>
      <c r="F189" s="3">
        <v>15</v>
      </c>
      <c r="G189" s="2" t="s">
        <v>857</v>
      </c>
      <c r="H189" s="19">
        <v>2017</v>
      </c>
      <c r="I189" s="2" t="s">
        <v>2</v>
      </c>
    </row>
    <row r="190" spans="2:9" x14ac:dyDescent="0.25">
      <c r="B190" s="2" t="s">
        <v>130</v>
      </c>
      <c r="C190" s="3">
        <v>26</v>
      </c>
      <c r="D190" s="2" t="s">
        <v>861</v>
      </c>
      <c r="E190" s="3">
        <v>2018</v>
      </c>
      <c r="F190" s="3">
        <v>5</v>
      </c>
      <c r="G190" s="2" t="s">
        <v>861</v>
      </c>
      <c r="H190" s="19">
        <v>2017</v>
      </c>
      <c r="I190" s="2" t="s">
        <v>2</v>
      </c>
    </row>
    <row r="191" spans="2:9" x14ac:dyDescent="0.25">
      <c r="B191" s="2" t="s">
        <v>128</v>
      </c>
      <c r="C191" s="3">
        <v>27</v>
      </c>
      <c r="D191" s="2" t="s">
        <v>861</v>
      </c>
      <c r="E191" s="3">
        <v>2018</v>
      </c>
      <c r="F191" s="3">
        <v>11</v>
      </c>
      <c r="G191" s="2" t="s">
        <v>866</v>
      </c>
      <c r="H191" s="19">
        <v>1966</v>
      </c>
      <c r="I191" s="2" t="s">
        <v>2</v>
      </c>
    </row>
    <row r="192" spans="2:9" x14ac:dyDescent="0.25">
      <c r="B192" s="2" t="s">
        <v>129</v>
      </c>
      <c r="C192" s="3">
        <v>27</v>
      </c>
      <c r="D192" s="2" t="s">
        <v>861</v>
      </c>
      <c r="E192" s="3">
        <v>2018</v>
      </c>
      <c r="F192" s="3">
        <v>5</v>
      </c>
      <c r="G192" s="2" t="s">
        <v>861</v>
      </c>
      <c r="H192" s="19">
        <v>1965</v>
      </c>
      <c r="I192" s="2" t="s">
        <v>3</v>
      </c>
    </row>
    <row r="193" spans="2:9" x14ac:dyDescent="0.25">
      <c r="B193" s="2" t="s">
        <v>130</v>
      </c>
      <c r="C193" s="3">
        <v>1</v>
      </c>
      <c r="D193" s="7" t="s">
        <v>867</v>
      </c>
      <c r="E193" s="2">
        <v>2018</v>
      </c>
      <c r="F193" s="3">
        <v>24</v>
      </c>
      <c r="G193" s="2" t="s">
        <v>869</v>
      </c>
      <c r="H193" s="20">
        <v>2013</v>
      </c>
      <c r="I193" s="7" t="s">
        <v>3</v>
      </c>
    </row>
    <row r="194" spans="2:9" x14ac:dyDescent="0.25">
      <c r="B194" s="2" t="s">
        <v>128</v>
      </c>
      <c r="C194" s="3">
        <v>1</v>
      </c>
      <c r="D194" s="2" t="s">
        <v>867</v>
      </c>
      <c r="E194" s="2">
        <v>2018</v>
      </c>
      <c r="F194" s="3">
        <v>3</v>
      </c>
      <c r="G194" s="2" t="s">
        <v>867</v>
      </c>
      <c r="H194" s="19">
        <v>1953</v>
      </c>
      <c r="I194" s="2" t="s">
        <v>3</v>
      </c>
    </row>
    <row r="195" spans="2:9" x14ac:dyDescent="0.25">
      <c r="B195" s="2" t="s">
        <v>129</v>
      </c>
      <c r="C195" s="3">
        <v>1</v>
      </c>
      <c r="D195" s="2" t="s">
        <v>867</v>
      </c>
      <c r="E195" s="2">
        <v>2018</v>
      </c>
      <c r="F195" s="3">
        <v>12</v>
      </c>
      <c r="G195" s="3" t="s">
        <v>868</v>
      </c>
      <c r="H195" s="19">
        <v>1966</v>
      </c>
      <c r="I195" s="5" t="s">
        <v>2</v>
      </c>
    </row>
    <row r="196" spans="2:9" x14ac:dyDescent="0.25">
      <c r="B196" s="2" t="s">
        <v>130</v>
      </c>
      <c r="C196" s="3">
        <v>1</v>
      </c>
      <c r="D196" s="2" t="s">
        <v>867</v>
      </c>
      <c r="E196" s="2">
        <v>2018</v>
      </c>
      <c r="F196" s="3">
        <v>4</v>
      </c>
      <c r="G196" s="3" t="s">
        <v>869</v>
      </c>
      <c r="H196" s="19">
        <v>1955</v>
      </c>
      <c r="I196" s="5" t="s">
        <v>2</v>
      </c>
    </row>
    <row r="197" spans="2:9" x14ac:dyDescent="0.25">
      <c r="B197" s="2" t="s">
        <v>128</v>
      </c>
      <c r="C197" s="3">
        <v>2</v>
      </c>
      <c r="D197" s="2" t="s">
        <v>867</v>
      </c>
      <c r="E197" s="2">
        <v>2018</v>
      </c>
      <c r="F197" s="3">
        <v>16</v>
      </c>
      <c r="G197" s="3" t="s">
        <v>870</v>
      </c>
      <c r="H197" s="19">
        <v>2017</v>
      </c>
      <c r="I197" s="2" t="s">
        <v>2</v>
      </c>
    </row>
    <row r="198" spans="2:9" x14ac:dyDescent="0.25">
      <c r="B198" s="2" t="s">
        <v>129</v>
      </c>
      <c r="C198" s="3">
        <v>2</v>
      </c>
      <c r="D198" s="2" t="s">
        <v>867</v>
      </c>
      <c r="E198" s="2">
        <v>2018</v>
      </c>
      <c r="F198" s="3">
        <v>16</v>
      </c>
      <c r="G198" s="3" t="s">
        <v>856</v>
      </c>
      <c r="H198" s="19">
        <v>2018</v>
      </c>
      <c r="I198" s="2" t="s">
        <v>2</v>
      </c>
    </row>
    <row r="199" spans="2:9" x14ac:dyDescent="0.25">
      <c r="B199" s="2" t="s">
        <v>130</v>
      </c>
      <c r="C199" s="3">
        <v>2</v>
      </c>
      <c r="D199" s="2" t="s">
        <v>867</v>
      </c>
      <c r="E199" s="2">
        <v>2018</v>
      </c>
      <c r="F199" s="3">
        <v>4</v>
      </c>
      <c r="G199" s="3" t="s">
        <v>870</v>
      </c>
      <c r="H199" s="19">
        <v>2017</v>
      </c>
      <c r="I199" s="2" t="s">
        <v>2</v>
      </c>
    </row>
    <row r="200" spans="2:9" x14ac:dyDescent="0.25">
      <c r="B200" s="2" t="s">
        <v>128</v>
      </c>
      <c r="C200" s="3">
        <v>2</v>
      </c>
      <c r="D200" s="2" t="s">
        <v>867</v>
      </c>
      <c r="E200" s="2">
        <v>2018</v>
      </c>
      <c r="F200" s="3">
        <v>16</v>
      </c>
      <c r="G200" s="3" t="s">
        <v>857</v>
      </c>
      <c r="H200" s="19">
        <v>2016</v>
      </c>
      <c r="I200" s="2" t="s">
        <v>2</v>
      </c>
    </row>
    <row r="201" spans="2:9" x14ac:dyDescent="0.25">
      <c r="B201" s="2" t="s">
        <v>129</v>
      </c>
      <c r="C201" s="3">
        <v>2</v>
      </c>
      <c r="D201" s="2" t="s">
        <v>867</v>
      </c>
      <c r="E201" s="2">
        <v>2018</v>
      </c>
      <c r="F201" s="3">
        <v>8</v>
      </c>
      <c r="G201" s="3" t="s">
        <v>861</v>
      </c>
      <c r="H201" s="19">
        <v>2018</v>
      </c>
      <c r="I201" s="2" t="s">
        <v>3</v>
      </c>
    </row>
    <row r="202" spans="2:9" x14ac:dyDescent="0.25">
      <c r="B202" s="2" t="s">
        <v>130</v>
      </c>
      <c r="C202" s="3">
        <v>5</v>
      </c>
      <c r="D202" s="2" t="s">
        <v>867</v>
      </c>
      <c r="E202" s="2">
        <v>2018</v>
      </c>
      <c r="F202" s="3">
        <v>9</v>
      </c>
      <c r="G202" s="3" t="s">
        <v>861</v>
      </c>
      <c r="H202" s="19">
        <v>2018</v>
      </c>
      <c r="I202" s="2" t="s">
        <v>2</v>
      </c>
    </row>
    <row r="203" spans="2:9" x14ac:dyDescent="0.25">
      <c r="B203" s="2" t="s">
        <v>128</v>
      </c>
      <c r="C203" s="3">
        <v>6</v>
      </c>
      <c r="D203" s="2" t="s">
        <v>867</v>
      </c>
      <c r="E203" s="2">
        <v>2018</v>
      </c>
      <c r="F203" s="3">
        <v>2</v>
      </c>
      <c r="G203" s="3" t="s">
        <v>856</v>
      </c>
      <c r="H203" s="19">
        <v>2018</v>
      </c>
      <c r="I203" s="2" t="s">
        <v>2</v>
      </c>
    </row>
    <row r="204" spans="2:9" x14ac:dyDescent="0.25">
      <c r="B204" s="2" t="s">
        <v>129</v>
      </c>
      <c r="C204" s="3">
        <v>6</v>
      </c>
      <c r="D204" s="2" t="s">
        <v>867</v>
      </c>
      <c r="E204" s="2">
        <v>2018</v>
      </c>
      <c r="F204" s="3">
        <v>3</v>
      </c>
      <c r="G204" s="3" t="s">
        <v>867</v>
      </c>
      <c r="H204" s="19">
        <v>2018</v>
      </c>
      <c r="I204" s="2" t="s">
        <v>2</v>
      </c>
    </row>
    <row r="205" spans="2:9" x14ac:dyDescent="0.25">
      <c r="B205" s="2" t="s">
        <v>130</v>
      </c>
      <c r="C205" s="3">
        <v>7</v>
      </c>
      <c r="D205" s="2" t="s">
        <v>867</v>
      </c>
      <c r="E205" s="2">
        <v>2018</v>
      </c>
      <c r="F205" s="3">
        <v>26</v>
      </c>
      <c r="G205" s="3" t="s">
        <v>863</v>
      </c>
      <c r="H205" s="19">
        <v>2017</v>
      </c>
      <c r="I205" s="2" t="s">
        <v>3</v>
      </c>
    </row>
    <row r="206" spans="2:9" x14ac:dyDescent="0.25">
      <c r="B206" s="2" t="s">
        <v>128</v>
      </c>
      <c r="C206" s="3">
        <v>7</v>
      </c>
      <c r="D206" s="2" t="s">
        <v>867</v>
      </c>
      <c r="E206" s="2">
        <v>2018</v>
      </c>
      <c r="F206" s="3">
        <v>4</v>
      </c>
      <c r="G206" s="3" t="s">
        <v>856</v>
      </c>
      <c r="H206" s="19">
        <v>2018</v>
      </c>
      <c r="I206" s="2" t="s">
        <v>2</v>
      </c>
    </row>
    <row r="207" spans="2:9" x14ac:dyDescent="0.25">
      <c r="B207" s="2" t="s">
        <v>129</v>
      </c>
      <c r="C207" s="3">
        <v>7</v>
      </c>
      <c r="D207" s="2" t="s">
        <v>867</v>
      </c>
      <c r="E207" s="2">
        <v>2018</v>
      </c>
      <c r="F207" s="3">
        <v>25</v>
      </c>
      <c r="G207" s="3" t="s">
        <v>856</v>
      </c>
      <c r="H207" s="19">
        <v>2018</v>
      </c>
      <c r="I207" s="2" t="s">
        <v>3</v>
      </c>
    </row>
    <row r="208" spans="2:9" x14ac:dyDescent="0.25">
      <c r="B208" s="2" t="s">
        <v>130</v>
      </c>
      <c r="C208" s="3">
        <v>7</v>
      </c>
      <c r="D208" s="2" t="s">
        <v>867</v>
      </c>
      <c r="E208" s="3">
        <v>2018</v>
      </c>
      <c r="F208" s="3">
        <v>17</v>
      </c>
      <c r="G208" s="3" t="s">
        <v>861</v>
      </c>
      <c r="H208" s="19">
        <v>2018</v>
      </c>
      <c r="I208" s="2" t="s">
        <v>3</v>
      </c>
    </row>
    <row r="209" spans="2:9" x14ac:dyDescent="0.25">
      <c r="B209" s="2" t="s">
        <v>128</v>
      </c>
      <c r="C209" s="3">
        <v>7</v>
      </c>
      <c r="D209" s="2" t="s">
        <v>867</v>
      </c>
      <c r="E209" s="3">
        <v>2018</v>
      </c>
      <c r="F209" s="3">
        <v>1</v>
      </c>
      <c r="G209" s="3" t="s">
        <v>861</v>
      </c>
      <c r="H209" s="19">
        <v>2018</v>
      </c>
      <c r="I209" s="2" t="s">
        <v>2</v>
      </c>
    </row>
    <row r="210" spans="2:9" x14ac:dyDescent="0.25">
      <c r="B210" s="2" t="s">
        <v>129</v>
      </c>
      <c r="C210" s="3">
        <v>7</v>
      </c>
      <c r="D210" s="2" t="s">
        <v>867</v>
      </c>
      <c r="E210" s="3">
        <v>2018</v>
      </c>
      <c r="F210" s="3">
        <v>8</v>
      </c>
      <c r="G210" s="3" t="s">
        <v>856</v>
      </c>
      <c r="H210" s="19">
        <v>2018</v>
      </c>
      <c r="I210" s="2" t="s">
        <v>3</v>
      </c>
    </row>
    <row r="211" spans="2:9" x14ac:dyDescent="0.25">
      <c r="B211" s="2" t="s">
        <v>130</v>
      </c>
      <c r="C211" s="3">
        <v>8</v>
      </c>
      <c r="D211" s="2" t="s">
        <v>867</v>
      </c>
      <c r="E211" s="2">
        <v>2018</v>
      </c>
      <c r="F211" s="3">
        <v>2</v>
      </c>
      <c r="G211" s="3" t="s">
        <v>867</v>
      </c>
      <c r="H211" s="19">
        <v>2018</v>
      </c>
      <c r="I211" s="2" t="s">
        <v>2</v>
      </c>
    </row>
    <row r="212" spans="2:9" x14ac:dyDescent="0.25">
      <c r="B212" s="2" t="s">
        <v>128</v>
      </c>
      <c r="C212" s="3">
        <v>8</v>
      </c>
      <c r="D212" s="2" t="s">
        <v>867</v>
      </c>
      <c r="E212" s="2">
        <v>2018</v>
      </c>
      <c r="F212" s="3">
        <v>13</v>
      </c>
      <c r="G212" s="3" t="s">
        <v>861</v>
      </c>
      <c r="H212" s="19">
        <v>2018</v>
      </c>
      <c r="I212" s="2" t="s">
        <v>2</v>
      </c>
    </row>
    <row r="213" spans="2:9" x14ac:dyDescent="0.25">
      <c r="B213" s="2" t="s">
        <v>129</v>
      </c>
      <c r="C213" s="3">
        <v>8</v>
      </c>
      <c r="D213" s="2" t="s">
        <v>867</v>
      </c>
      <c r="E213" s="2">
        <v>2018</v>
      </c>
      <c r="F213" s="3">
        <v>4</v>
      </c>
      <c r="G213" s="3" t="s">
        <v>856</v>
      </c>
      <c r="H213" s="19">
        <v>2018</v>
      </c>
      <c r="I213" s="2" t="s">
        <v>2</v>
      </c>
    </row>
    <row r="214" spans="2:9" x14ac:dyDescent="0.25">
      <c r="B214" s="2" t="s">
        <v>130</v>
      </c>
      <c r="C214" s="3">
        <v>8</v>
      </c>
      <c r="D214" s="2" t="s">
        <v>867</v>
      </c>
      <c r="E214" s="2">
        <v>2018</v>
      </c>
      <c r="F214" s="3">
        <v>4</v>
      </c>
      <c r="G214" s="3" t="s">
        <v>867</v>
      </c>
      <c r="H214" s="19">
        <v>2018</v>
      </c>
      <c r="I214" s="2" t="s">
        <v>3</v>
      </c>
    </row>
    <row r="215" spans="2:9" x14ac:dyDescent="0.25">
      <c r="B215" s="2" t="s">
        <v>128</v>
      </c>
      <c r="C215" s="3">
        <v>8</v>
      </c>
      <c r="D215" s="2" t="s">
        <v>867</v>
      </c>
      <c r="E215" s="2">
        <v>2018</v>
      </c>
      <c r="F215" s="3">
        <v>1</v>
      </c>
      <c r="G215" s="3" t="s">
        <v>867</v>
      </c>
      <c r="H215" s="19">
        <v>2018</v>
      </c>
      <c r="I215" s="2" t="s">
        <v>3</v>
      </c>
    </row>
    <row r="216" spans="2:9" x14ac:dyDescent="0.25">
      <c r="B216" s="2" t="s">
        <v>129</v>
      </c>
      <c r="C216" s="3">
        <v>8</v>
      </c>
      <c r="D216" s="2" t="s">
        <v>867</v>
      </c>
      <c r="E216" s="2">
        <v>2018</v>
      </c>
      <c r="F216" s="3">
        <v>13</v>
      </c>
      <c r="G216" s="3" t="s">
        <v>858</v>
      </c>
      <c r="H216" s="19">
        <v>2013</v>
      </c>
      <c r="I216" s="2" t="s">
        <v>3</v>
      </c>
    </row>
    <row r="217" spans="2:9" x14ac:dyDescent="0.25">
      <c r="B217" s="2" t="s">
        <v>130</v>
      </c>
      <c r="C217" s="3">
        <v>12</v>
      </c>
      <c r="D217" s="2" t="s">
        <v>867</v>
      </c>
      <c r="E217" s="2">
        <v>2018</v>
      </c>
      <c r="F217" s="3">
        <v>3</v>
      </c>
      <c r="G217" s="3" t="s">
        <v>866</v>
      </c>
      <c r="H217" s="19">
        <v>1965</v>
      </c>
      <c r="I217" s="2" t="s">
        <v>2</v>
      </c>
    </row>
    <row r="218" spans="2:9" x14ac:dyDescent="0.25">
      <c r="B218" s="2" t="s">
        <v>128</v>
      </c>
      <c r="C218" s="3">
        <v>13</v>
      </c>
      <c r="D218" s="2" t="s">
        <v>867</v>
      </c>
      <c r="E218" s="2">
        <v>2018</v>
      </c>
      <c r="F218" s="3">
        <v>3</v>
      </c>
      <c r="G218" s="3" t="s">
        <v>863</v>
      </c>
      <c r="H218" s="19">
        <v>2017</v>
      </c>
      <c r="I218" s="2" t="s">
        <v>3</v>
      </c>
    </row>
    <row r="219" spans="2:9" x14ac:dyDescent="0.25">
      <c r="B219" s="2" t="s">
        <v>129</v>
      </c>
      <c r="C219" s="3">
        <v>13</v>
      </c>
      <c r="D219" s="2" t="s">
        <v>867</v>
      </c>
      <c r="E219" s="2">
        <v>2018</v>
      </c>
      <c r="F219" s="3">
        <v>4</v>
      </c>
      <c r="G219" s="3" t="s">
        <v>867</v>
      </c>
      <c r="H219" s="19">
        <v>2018</v>
      </c>
      <c r="I219" s="2" t="s">
        <v>2</v>
      </c>
    </row>
    <row r="220" spans="2:9" x14ac:dyDescent="0.25">
      <c r="B220" s="2" t="s">
        <v>130</v>
      </c>
      <c r="C220" s="3">
        <v>13</v>
      </c>
      <c r="D220" s="2" t="s">
        <v>867</v>
      </c>
      <c r="E220" s="2">
        <v>2018</v>
      </c>
      <c r="F220" s="3">
        <v>1</v>
      </c>
      <c r="G220" s="3" t="s">
        <v>867</v>
      </c>
      <c r="H220" s="19">
        <v>2018</v>
      </c>
      <c r="I220" s="2" t="s">
        <v>3</v>
      </c>
    </row>
    <row r="221" spans="2:9" x14ac:dyDescent="0.25">
      <c r="B221" s="2" t="s">
        <v>128</v>
      </c>
      <c r="C221" s="3">
        <v>13</v>
      </c>
      <c r="D221" s="2" t="s">
        <v>867</v>
      </c>
      <c r="E221" s="2">
        <v>2018</v>
      </c>
      <c r="F221" s="3">
        <v>18</v>
      </c>
      <c r="G221" s="3" t="s">
        <v>861</v>
      </c>
      <c r="H221" s="19">
        <v>2018</v>
      </c>
      <c r="I221" s="2" t="s">
        <v>2</v>
      </c>
    </row>
    <row r="222" spans="2:9" x14ac:dyDescent="0.25">
      <c r="B222" s="2" t="s">
        <v>129</v>
      </c>
      <c r="C222" s="3">
        <v>15</v>
      </c>
      <c r="D222" s="2" t="s">
        <v>867</v>
      </c>
      <c r="E222" s="2">
        <v>2018</v>
      </c>
      <c r="F222" s="3">
        <v>21</v>
      </c>
      <c r="G222" s="3" t="s">
        <v>861</v>
      </c>
      <c r="H222" s="19">
        <v>2018</v>
      </c>
      <c r="I222" s="2" t="s">
        <v>3</v>
      </c>
    </row>
    <row r="223" spans="2:9" x14ac:dyDescent="0.25">
      <c r="B223" s="2" t="s">
        <v>130</v>
      </c>
      <c r="C223" s="3">
        <v>15</v>
      </c>
      <c r="D223" s="2" t="s">
        <v>867</v>
      </c>
      <c r="E223" s="2">
        <v>2018</v>
      </c>
      <c r="F223" s="3">
        <v>11</v>
      </c>
      <c r="G223" s="3" t="s">
        <v>857</v>
      </c>
      <c r="H223" s="19">
        <v>2017</v>
      </c>
      <c r="I223" s="2" t="s">
        <v>2</v>
      </c>
    </row>
    <row r="224" spans="2:9" x14ac:dyDescent="0.25">
      <c r="B224" s="2" t="s">
        <v>128</v>
      </c>
      <c r="C224" s="3">
        <v>20</v>
      </c>
      <c r="D224" s="2" t="s">
        <v>867</v>
      </c>
      <c r="E224" s="2">
        <v>2018</v>
      </c>
      <c r="F224" s="3">
        <v>30</v>
      </c>
      <c r="G224" s="3" t="s">
        <v>858</v>
      </c>
      <c r="H224" s="19">
        <v>2017</v>
      </c>
      <c r="I224" s="2" t="s">
        <v>3</v>
      </c>
    </row>
    <row r="225" spans="2:9" x14ac:dyDescent="0.25">
      <c r="B225" s="2" t="s">
        <v>129</v>
      </c>
      <c r="C225" s="3">
        <v>20</v>
      </c>
      <c r="D225" s="2" t="s">
        <v>867</v>
      </c>
      <c r="E225" s="2">
        <v>2018</v>
      </c>
      <c r="F225" s="3">
        <v>6</v>
      </c>
      <c r="G225" s="3" t="s">
        <v>863</v>
      </c>
      <c r="H225" s="19">
        <v>2017</v>
      </c>
      <c r="I225" s="2" t="s">
        <v>2</v>
      </c>
    </row>
    <row r="226" spans="2:9" x14ac:dyDescent="0.25">
      <c r="B226" s="2" t="s">
        <v>130</v>
      </c>
      <c r="C226" s="3">
        <v>20</v>
      </c>
      <c r="D226" s="2" t="s">
        <v>867</v>
      </c>
      <c r="E226" s="3">
        <v>2018</v>
      </c>
      <c r="F226" s="3">
        <v>9</v>
      </c>
      <c r="G226" s="3" t="s">
        <v>857</v>
      </c>
      <c r="H226" s="19">
        <v>2015</v>
      </c>
      <c r="I226" s="2" t="s">
        <v>3</v>
      </c>
    </row>
    <row r="227" spans="2:9" x14ac:dyDescent="0.25">
      <c r="B227" s="2" t="s">
        <v>128</v>
      </c>
      <c r="C227" s="3">
        <v>21</v>
      </c>
      <c r="D227" s="2" t="s">
        <v>867</v>
      </c>
      <c r="E227" s="3">
        <v>2018</v>
      </c>
      <c r="F227" s="3">
        <v>7</v>
      </c>
      <c r="G227" s="3" t="s">
        <v>867</v>
      </c>
      <c r="H227" s="19">
        <v>2018</v>
      </c>
      <c r="I227" s="2" t="s">
        <v>2</v>
      </c>
    </row>
    <row r="228" spans="2:9" x14ac:dyDescent="0.25">
      <c r="B228" s="2" t="s">
        <v>129</v>
      </c>
      <c r="C228" s="3">
        <v>22</v>
      </c>
      <c r="D228" s="2" t="s">
        <v>867</v>
      </c>
      <c r="E228" s="3">
        <v>2018</v>
      </c>
      <c r="F228" s="3">
        <v>19</v>
      </c>
      <c r="G228" s="3" t="s">
        <v>861</v>
      </c>
      <c r="H228" s="19">
        <v>2018</v>
      </c>
      <c r="I228" s="2" t="s">
        <v>3</v>
      </c>
    </row>
    <row r="229" spans="2:9" x14ac:dyDescent="0.25">
      <c r="B229" s="2" t="s">
        <v>130</v>
      </c>
      <c r="C229" s="3">
        <v>22</v>
      </c>
      <c r="D229" s="2" t="s">
        <v>867</v>
      </c>
      <c r="E229" s="3">
        <v>2018</v>
      </c>
      <c r="F229" s="3">
        <v>14</v>
      </c>
      <c r="G229" s="3" t="s">
        <v>867</v>
      </c>
      <c r="H229" s="19">
        <v>2018</v>
      </c>
      <c r="I229" s="2" t="s">
        <v>2</v>
      </c>
    </row>
    <row r="230" spans="2:9" x14ac:dyDescent="0.25">
      <c r="B230" s="2" t="s">
        <v>128</v>
      </c>
      <c r="C230" s="3">
        <v>26</v>
      </c>
      <c r="D230" s="2" t="s">
        <v>867</v>
      </c>
      <c r="E230" s="3">
        <v>2018</v>
      </c>
      <c r="F230" s="3">
        <v>9</v>
      </c>
      <c r="G230" s="3" t="s">
        <v>856</v>
      </c>
      <c r="H230" s="19">
        <v>2018</v>
      </c>
      <c r="I230" s="2" t="s">
        <v>3</v>
      </c>
    </row>
    <row r="231" spans="2:9" x14ac:dyDescent="0.25">
      <c r="B231" s="2" t="s">
        <v>129</v>
      </c>
      <c r="C231" s="3">
        <v>26</v>
      </c>
      <c r="D231" s="2" t="s">
        <v>867</v>
      </c>
      <c r="E231" s="3">
        <v>2018</v>
      </c>
      <c r="F231" s="3">
        <v>5</v>
      </c>
      <c r="G231" s="3" t="s">
        <v>863</v>
      </c>
      <c r="H231" s="19">
        <v>2016</v>
      </c>
      <c r="I231" s="2" t="s">
        <v>2</v>
      </c>
    </row>
    <row r="232" spans="2:9" x14ac:dyDescent="0.25">
      <c r="B232" s="2" t="s">
        <v>130</v>
      </c>
      <c r="C232" s="3">
        <v>26</v>
      </c>
      <c r="D232" s="2" t="s">
        <v>867</v>
      </c>
      <c r="E232" s="3">
        <v>2018</v>
      </c>
      <c r="F232" s="3">
        <v>18</v>
      </c>
      <c r="G232" s="3" t="s">
        <v>865</v>
      </c>
      <c r="H232" s="19">
        <v>2017</v>
      </c>
      <c r="I232" s="2" t="s">
        <v>3</v>
      </c>
    </row>
    <row r="233" spans="2:9" x14ac:dyDescent="0.25">
      <c r="B233" s="2" t="s">
        <v>128</v>
      </c>
      <c r="C233" s="3">
        <v>26</v>
      </c>
      <c r="D233" s="2" t="s">
        <v>867</v>
      </c>
      <c r="E233" s="3">
        <v>2018</v>
      </c>
      <c r="F233" s="3">
        <v>8</v>
      </c>
      <c r="G233" s="3" t="s">
        <v>867</v>
      </c>
      <c r="H233" s="19">
        <v>2018</v>
      </c>
      <c r="I233" s="2" t="s">
        <v>2</v>
      </c>
    </row>
    <row r="234" spans="2:9" x14ac:dyDescent="0.25">
      <c r="B234" s="2" t="s">
        <v>129</v>
      </c>
      <c r="C234" s="3">
        <v>26</v>
      </c>
      <c r="D234" s="2" t="s">
        <v>867</v>
      </c>
      <c r="E234" s="3">
        <v>2018</v>
      </c>
      <c r="F234" s="3">
        <v>18</v>
      </c>
      <c r="G234" s="3" t="s">
        <v>864</v>
      </c>
      <c r="H234" s="19">
        <v>2017</v>
      </c>
      <c r="I234" s="2" t="s">
        <v>3</v>
      </c>
    </row>
    <row r="235" spans="2:9" x14ac:dyDescent="0.25">
      <c r="B235" s="2" t="s">
        <v>130</v>
      </c>
      <c r="C235" s="3">
        <v>27</v>
      </c>
      <c r="D235" s="2" t="s">
        <v>867</v>
      </c>
      <c r="E235" s="3">
        <v>2018</v>
      </c>
      <c r="F235" s="3">
        <v>28</v>
      </c>
      <c r="G235" s="3" t="s">
        <v>861</v>
      </c>
      <c r="H235" s="19">
        <v>2018</v>
      </c>
      <c r="I235" s="2" t="s">
        <v>2</v>
      </c>
    </row>
    <row r="236" spans="2:9" x14ac:dyDescent="0.25">
      <c r="B236" s="2" t="s">
        <v>128</v>
      </c>
      <c r="C236" s="3">
        <v>27</v>
      </c>
      <c r="D236" s="2" t="s">
        <v>867</v>
      </c>
      <c r="E236" s="3">
        <v>2018</v>
      </c>
      <c r="F236" s="3">
        <v>18</v>
      </c>
      <c r="G236" s="3" t="s">
        <v>857</v>
      </c>
      <c r="H236" s="19">
        <v>2018</v>
      </c>
      <c r="I236" s="2" t="s">
        <v>3</v>
      </c>
    </row>
    <row r="237" spans="2:9" x14ac:dyDescent="0.25">
      <c r="B237" s="2" t="s">
        <v>129</v>
      </c>
      <c r="C237" s="3">
        <v>28</v>
      </c>
      <c r="D237" s="2" t="s">
        <v>867</v>
      </c>
      <c r="E237" s="3">
        <v>2018</v>
      </c>
      <c r="F237" s="3">
        <v>23</v>
      </c>
      <c r="G237" s="3" t="s">
        <v>857</v>
      </c>
      <c r="H237" s="19">
        <v>2017</v>
      </c>
      <c r="I237" s="2" t="s">
        <v>3</v>
      </c>
    </row>
    <row r="238" spans="2:9" x14ac:dyDescent="0.25">
      <c r="B238" s="2" t="s">
        <v>130</v>
      </c>
      <c r="C238" s="3">
        <v>28</v>
      </c>
      <c r="D238" s="2" t="s">
        <v>867</v>
      </c>
      <c r="E238" s="3">
        <v>2018</v>
      </c>
      <c r="F238" s="3">
        <v>17</v>
      </c>
      <c r="G238" s="3" t="s">
        <v>856</v>
      </c>
      <c r="H238" s="19">
        <v>2018</v>
      </c>
      <c r="I238" s="2" t="s">
        <v>2</v>
      </c>
    </row>
    <row r="239" spans="2:9" x14ac:dyDescent="0.25">
      <c r="B239" s="2" t="s">
        <v>128</v>
      </c>
      <c r="C239" s="3">
        <v>28</v>
      </c>
      <c r="D239" s="2" t="s">
        <v>867</v>
      </c>
      <c r="E239" s="3">
        <v>2018</v>
      </c>
      <c r="F239" s="3">
        <v>2</v>
      </c>
      <c r="G239" s="3" t="s">
        <v>867</v>
      </c>
      <c r="H239" s="19">
        <v>2018</v>
      </c>
      <c r="I239" s="2" t="s">
        <v>3</v>
      </c>
    </row>
    <row r="240" spans="2:9" x14ac:dyDescent="0.25">
      <c r="B240" s="2" t="s">
        <v>129</v>
      </c>
      <c r="C240" s="3">
        <v>2</v>
      </c>
      <c r="D240" s="7" t="s">
        <v>865</v>
      </c>
      <c r="E240" s="3">
        <v>2018</v>
      </c>
      <c r="F240" s="3">
        <v>17</v>
      </c>
      <c r="G240" s="3" t="s">
        <v>856</v>
      </c>
      <c r="H240" s="20">
        <v>2018</v>
      </c>
      <c r="I240" s="7" t="s">
        <v>2</v>
      </c>
    </row>
    <row r="241" spans="2:9" x14ac:dyDescent="0.25">
      <c r="B241" s="2" t="s">
        <v>130</v>
      </c>
      <c r="C241" s="3">
        <v>3</v>
      </c>
      <c r="D241" s="2" t="s">
        <v>865</v>
      </c>
      <c r="E241" s="3">
        <v>2018</v>
      </c>
      <c r="F241" s="3">
        <v>21</v>
      </c>
      <c r="G241" s="3" t="s">
        <v>858</v>
      </c>
      <c r="H241" s="19">
        <v>2016</v>
      </c>
      <c r="I241" s="2" t="s">
        <v>2</v>
      </c>
    </row>
    <row r="242" spans="2:9" x14ac:dyDescent="0.25">
      <c r="B242" s="2" t="s">
        <v>128</v>
      </c>
      <c r="C242" s="3">
        <v>5</v>
      </c>
      <c r="D242" s="2" t="s">
        <v>865</v>
      </c>
      <c r="E242" s="3">
        <v>2018</v>
      </c>
      <c r="F242" s="3">
        <v>11</v>
      </c>
      <c r="G242" s="3" t="s">
        <v>857</v>
      </c>
      <c r="H242" s="19">
        <v>2015</v>
      </c>
      <c r="I242" s="2" t="s">
        <v>2</v>
      </c>
    </row>
    <row r="243" spans="2:9" x14ac:dyDescent="0.25">
      <c r="B243" s="2" t="s">
        <v>129</v>
      </c>
      <c r="C243" s="3">
        <v>6</v>
      </c>
      <c r="D243" s="2" t="s">
        <v>865</v>
      </c>
      <c r="E243" s="3">
        <v>2018</v>
      </c>
      <c r="F243" s="3">
        <v>31</v>
      </c>
      <c r="G243" s="3" t="s">
        <v>857</v>
      </c>
      <c r="H243" s="19">
        <v>2017</v>
      </c>
      <c r="I243" s="2" t="s">
        <v>3</v>
      </c>
    </row>
    <row r="244" spans="2:9" x14ac:dyDescent="0.25">
      <c r="B244" s="2" t="s">
        <v>130</v>
      </c>
      <c r="C244" s="3">
        <v>6</v>
      </c>
      <c r="D244" s="2" t="s">
        <v>865</v>
      </c>
      <c r="E244" s="3">
        <v>2018</v>
      </c>
      <c r="F244" s="3">
        <v>17</v>
      </c>
      <c r="G244" s="3" t="s">
        <v>867</v>
      </c>
      <c r="H244" s="19">
        <v>2018</v>
      </c>
      <c r="I244" s="2" t="s">
        <v>3</v>
      </c>
    </row>
    <row r="245" spans="2:9" x14ac:dyDescent="0.25">
      <c r="B245" s="2" t="s">
        <v>128</v>
      </c>
      <c r="C245" s="3">
        <v>9</v>
      </c>
      <c r="D245" s="2" t="s">
        <v>865</v>
      </c>
      <c r="E245" s="3">
        <v>2018</v>
      </c>
      <c r="F245" s="3">
        <v>17</v>
      </c>
      <c r="G245" s="3" t="s">
        <v>861</v>
      </c>
      <c r="H245" s="19">
        <v>1963</v>
      </c>
      <c r="I245" s="2" t="s">
        <v>2</v>
      </c>
    </row>
    <row r="246" spans="2:9" x14ac:dyDescent="0.25">
      <c r="B246" s="2" t="s">
        <v>129</v>
      </c>
      <c r="C246" s="3">
        <v>9</v>
      </c>
      <c r="D246" s="2" t="s">
        <v>865</v>
      </c>
      <c r="E246" s="3">
        <v>2018</v>
      </c>
      <c r="F246" s="3">
        <v>19</v>
      </c>
      <c r="G246" s="3" t="s">
        <v>861</v>
      </c>
      <c r="H246" s="19">
        <v>2018</v>
      </c>
      <c r="I246" s="2" t="s">
        <v>2</v>
      </c>
    </row>
    <row r="247" spans="2:9" x14ac:dyDescent="0.25">
      <c r="B247" s="2" t="s">
        <v>130</v>
      </c>
      <c r="C247" s="3">
        <v>10</v>
      </c>
      <c r="D247" s="2" t="s">
        <v>865</v>
      </c>
      <c r="E247" s="3">
        <v>2018</v>
      </c>
      <c r="F247" s="3">
        <v>7</v>
      </c>
      <c r="G247" s="3" t="s">
        <v>865</v>
      </c>
      <c r="H247" s="19">
        <v>2018</v>
      </c>
      <c r="I247" s="2" t="s">
        <v>3</v>
      </c>
    </row>
    <row r="248" spans="2:9" x14ac:dyDescent="0.25">
      <c r="B248" s="2" t="s">
        <v>128</v>
      </c>
      <c r="C248" s="3">
        <v>11</v>
      </c>
      <c r="D248" s="2" t="s">
        <v>865</v>
      </c>
      <c r="E248" s="3">
        <v>2018</v>
      </c>
      <c r="F248" s="3">
        <v>30</v>
      </c>
      <c r="G248" s="3" t="s">
        <v>856</v>
      </c>
      <c r="H248" s="19">
        <v>2018</v>
      </c>
      <c r="I248" s="2" t="s">
        <v>2</v>
      </c>
    </row>
    <row r="249" spans="2:9" x14ac:dyDescent="0.25">
      <c r="B249" s="2" t="s">
        <v>129</v>
      </c>
      <c r="C249" s="3">
        <v>18</v>
      </c>
      <c r="D249" s="2" t="s">
        <v>865</v>
      </c>
      <c r="E249" s="3">
        <v>2018</v>
      </c>
      <c r="F249" s="3">
        <v>21</v>
      </c>
      <c r="G249" s="3" t="s">
        <v>866</v>
      </c>
      <c r="H249" s="19">
        <v>2017</v>
      </c>
      <c r="I249" s="2" t="s">
        <v>2</v>
      </c>
    </row>
    <row r="250" spans="2:9" x14ac:dyDescent="0.25">
      <c r="B250" s="2" t="s">
        <v>130</v>
      </c>
      <c r="C250" s="3">
        <v>20</v>
      </c>
      <c r="D250" s="2" t="s">
        <v>865</v>
      </c>
      <c r="E250" s="3">
        <v>2018</v>
      </c>
      <c r="F250" s="3">
        <v>2</v>
      </c>
      <c r="G250" s="3" t="s">
        <v>867</v>
      </c>
      <c r="H250" s="19">
        <v>1996</v>
      </c>
      <c r="I250" s="2" t="s">
        <v>2</v>
      </c>
    </row>
    <row r="251" spans="2:9" x14ac:dyDescent="0.25">
      <c r="B251" s="2" t="s">
        <v>128</v>
      </c>
      <c r="C251" s="3">
        <v>20</v>
      </c>
      <c r="D251" s="2" t="s">
        <v>865</v>
      </c>
      <c r="E251" s="3">
        <v>2018</v>
      </c>
      <c r="F251" s="3">
        <v>24</v>
      </c>
      <c r="G251" s="3" t="s">
        <v>864</v>
      </c>
      <c r="H251" s="19">
        <v>2002</v>
      </c>
      <c r="I251" s="2" t="s">
        <v>2</v>
      </c>
    </row>
    <row r="252" spans="2:9" x14ac:dyDescent="0.25">
      <c r="B252" s="2" t="s">
        <v>129</v>
      </c>
      <c r="C252" s="3">
        <v>20</v>
      </c>
      <c r="D252" s="2" t="s">
        <v>865</v>
      </c>
      <c r="E252" s="3">
        <v>2018</v>
      </c>
      <c r="F252" s="3">
        <v>28</v>
      </c>
      <c r="G252" s="3" t="s">
        <v>856</v>
      </c>
      <c r="H252" s="19">
        <v>2016</v>
      </c>
      <c r="I252" s="2" t="s">
        <v>2</v>
      </c>
    </row>
    <row r="253" spans="2:9" x14ac:dyDescent="0.25">
      <c r="B253" s="2" t="s">
        <v>130</v>
      </c>
      <c r="C253" s="3">
        <v>20</v>
      </c>
      <c r="D253" s="2" t="s">
        <v>865</v>
      </c>
      <c r="E253" s="3">
        <v>2018</v>
      </c>
      <c r="F253" s="3">
        <v>9</v>
      </c>
      <c r="G253" s="3" t="s">
        <v>868</v>
      </c>
      <c r="H253" s="19">
        <v>2002</v>
      </c>
      <c r="I253" s="2" t="s">
        <v>2</v>
      </c>
    </row>
    <row r="254" spans="2:9" x14ac:dyDescent="0.25">
      <c r="B254" s="2" t="s">
        <v>128</v>
      </c>
      <c r="C254" s="3">
        <v>26</v>
      </c>
      <c r="D254" s="2" t="s">
        <v>865</v>
      </c>
      <c r="E254" s="3">
        <v>2018</v>
      </c>
      <c r="F254" s="3">
        <v>9</v>
      </c>
      <c r="G254" s="3" t="s">
        <v>869</v>
      </c>
      <c r="H254" s="36">
        <v>2009</v>
      </c>
      <c r="I254" s="11" t="s">
        <v>2</v>
      </c>
    </row>
    <row r="255" spans="2:9" x14ac:dyDescent="0.25">
      <c r="B255" s="2" t="s">
        <v>129</v>
      </c>
      <c r="C255" s="3">
        <v>27</v>
      </c>
      <c r="D255" s="2" t="s">
        <v>865</v>
      </c>
      <c r="E255" s="3">
        <v>2018</v>
      </c>
      <c r="F255" s="3">
        <v>3</v>
      </c>
      <c r="G255" s="3" t="s">
        <v>865</v>
      </c>
      <c r="H255" s="19">
        <v>2018</v>
      </c>
      <c r="I255" s="2" t="s">
        <v>3</v>
      </c>
    </row>
    <row r="256" spans="2:9" x14ac:dyDescent="0.25">
      <c r="B256" s="2" t="s">
        <v>130</v>
      </c>
      <c r="C256" s="3">
        <v>30</v>
      </c>
      <c r="D256" s="2" t="s">
        <v>865</v>
      </c>
      <c r="E256" s="3">
        <v>2018</v>
      </c>
      <c r="F256" s="3">
        <v>8</v>
      </c>
      <c r="G256" s="3" t="s">
        <v>858</v>
      </c>
      <c r="H256" s="19">
        <v>2017</v>
      </c>
      <c r="I256" s="2" t="s">
        <v>2</v>
      </c>
    </row>
    <row r="257" spans="2:9" x14ac:dyDescent="0.25">
      <c r="B257" s="2" t="s">
        <v>128</v>
      </c>
      <c r="C257" s="3">
        <v>30</v>
      </c>
      <c r="D257" s="2" t="s">
        <v>865</v>
      </c>
      <c r="E257" s="3">
        <v>2018</v>
      </c>
      <c r="F257" s="3">
        <v>4</v>
      </c>
      <c r="G257" s="3" t="s">
        <v>867</v>
      </c>
      <c r="H257" s="19">
        <v>2002</v>
      </c>
      <c r="I257" s="2" t="s">
        <v>3</v>
      </c>
    </row>
    <row r="258" spans="2:9" x14ac:dyDescent="0.25">
      <c r="B258" s="2" t="s">
        <v>129</v>
      </c>
      <c r="C258" s="3">
        <v>30</v>
      </c>
      <c r="D258" s="2" t="s">
        <v>865</v>
      </c>
      <c r="E258" s="3">
        <v>2018</v>
      </c>
      <c r="F258" s="3">
        <v>19</v>
      </c>
      <c r="G258" s="3" t="s">
        <v>858</v>
      </c>
      <c r="H258" s="19">
        <v>2004</v>
      </c>
      <c r="I258" s="2" t="s">
        <v>2</v>
      </c>
    </row>
    <row r="259" spans="2:9" x14ac:dyDescent="0.25">
      <c r="B259" s="2" t="s">
        <v>130</v>
      </c>
      <c r="C259" s="3">
        <v>2</v>
      </c>
      <c r="D259" s="7" t="s">
        <v>866</v>
      </c>
      <c r="E259" s="3">
        <v>2018</v>
      </c>
      <c r="F259" s="3">
        <v>12</v>
      </c>
      <c r="G259" s="3" t="s">
        <v>856</v>
      </c>
      <c r="H259" s="20">
        <v>2018</v>
      </c>
      <c r="I259" s="7" t="s">
        <v>2</v>
      </c>
    </row>
    <row r="260" spans="2:9" x14ac:dyDescent="0.25">
      <c r="B260" s="2" t="s">
        <v>128</v>
      </c>
      <c r="C260" s="3">
        <v>2</v>
      </c>
      <c r="D260" s="2" t="s">
        <v>866</v>
      </c>
      <c r="E260" s="3">
        <v>2018</v>
      </c>
      <c r="F260" s="3">
        <v>15</v>
      </c>
      <c r="G260" s="3" t="s">
        <v>870</v>
      </c>
      <c r="H260" s="19">
        <v>2016</v>
      </c>
      <c r="I260" s="2" t="s">
        <v>3</v>
      </c>
    </row>
    <row r="261" spans="2:9" x14ac:dyDescent="0.25">
      <c r="B261" s="2" t="s">
        <v>129</v>
      </c>
      <c r="C261" s="3">
        <v>2</v>
      </c>
      <c r="D261" s="2" t="s">
        <v>866</v>
      </c>
      <c r="E261" s="3">
        <v>2018</v>
      </c>
      <c r="F261" s="3">
        <v>3</v>
      </c>
      <c r="G261" s="3" t="s">
        <v>866</v>
      </c>
      <c r="H261" s="19">
        <v>2018</v>
      </c>
      <c r="I261" s="2" t="s">
        <v>3</v>
      </c>
    </row>
    <row r="262" spans="2:9" x14ac:dyDescent="0.25">
      <c r="B262" s="2" t="s">
        <v>130</v>
      </c>
      <c r="C262" s="3">
        <v>3</v>
      </c>
      <c r="D262" s="2" t="s">
        <v>866</v>
      </c>
      <c r="E262" s="3">
        <v>2018</v>
      </c>
      <c r="F262" s="3">
        <v>27</v>
      </c>
      <c r="G262" s="3" t="s">
        <v>857</v>
      </c>
      <c r="H262" s="19">
        <v>1948</v>
      </c>
      <c r="I262" s="2" t="s">
        <v>2</v>
      </c>
    </row>
    <row r="263" spans="2:9" x14ac:dyDescent="0.25">
      <c r="B263" s="2" t="s">
        <v>128</v>
      </c>
      <c r="C263" s="3">
        <v>3</v>
      </c>
      <c r="D263" s="2" t="s">
        <v>866</v>
      </c>
      <c r="E263" s="3">
        <v>2018</v>
      </c>
      <c r="F263" s="3">
        <v>20</v>
      </c>
      <c r="G263" s="3" t="s">
        <v>865</v>
      </c>
      <c r="H263" s="19">
        <v>2018</v>
      </c>
      <c r="I263" s="2" t="s">
        <v>3</v>
      </c>
    </row>
    <row r="264" spans="2:9" x14ac:dyDescent="0.25">
      <c r="B264" s="2" t="s">
        <v>129</v>
      </c>
      <c r="C264" s="3">
        <v>3</v>
      </c>
      <c r="D264" s="2" t="s">
        <v>866</v>
      </c>
      <c r="E264" s="3">
        <v>2018</v>
      </c>
      <c r="F264" s="3">
        <v>17</v>
      </c>
      <c r="G264" s="3" t="s">
        <v>864</v>
      </c>
      <c r="H264" s="19">
        <v>1985</v>
      </c>
      <c r="I264" s="2" t="s">
        <v>3</v>
      </c>
    </row>
    <row r="265" spans="2:9" x14ac:dyDescent="0.25">
      <c r="B265" s="2" t="s">
        <v>130</v>
      </c>
      <c r="C265" s="3">
        <v>3</v>
      </c>
      <c r="D265" s="2" t="s">
        <v>866</v>
      </c>
      <c r="E265" s="3">
        <v>2018</v>
      </c>
      <c r="F265" s="3">
        <v>22</v>
      </c>
      <c r="G265" s="3" t="s">
        <v>867</v>
      </c>
      <c r="H265" s="19">
        <v>2018</v>
      </c>
      <c r="I265" s="2" t="s">
        <v>2</v>
      </c>
    </row>
    <row r="266" spans="2:9" x14ac:dyDescent="0.25">
      <c r="B266" s="2" t="s">
        <v>128</v>
      </c>
      <c r="C266" s="3">
        <v>16</v>
      </c>
      <c r="D266" s="2" t="s">
        <v>866</v>
      </c>
      <c r="E266" s="3">
        <v>2018</v>
      </c>
      <c r="F266" s="3">
        <v>24</v>
      </c>
      <c r="G266" s="3" t="s">
        <v>863</v>
      </c>
      <c r="H266" s="19">
        <v>2017</v>
      </c>
      <c r="I266" s="2" t="s">
        <v>2</v>
      </c>
    </row>
    <row r="267" spans="2:9" x14ac:dyDescent="0.25">
      <c r="B267" s="2" t="s">
        <v>129</v>
      </c>
      <c r="C267" s="3">
        <v>16</v>
      </c>
      <c r="D267" s="2" t="s">
        <v>866</v>
      </c>
      <c r="E267" s="3">
        <v>2018</v>
      </c>
      <c r="F267" s="3">
        <v>5</v>
      </c>
      <c r="G267" s="3" t="s">
        <v>866</v>
      </c>
      <c r="H267" s="19">
        <v>2018</v>
      </c>
      <c r="I267" s="2" t="s">
        <v>3</v>
      </c>
    </row>
    <row r="268" spans="2:9" x14ac:dyDescent="0.25">
      <c r="B268" s="2" t="s">
        <v>130</v>
      </c>
      <c r="C268" s="3">
        <v>17</v>
      </c>
      <c r="D268" s="7" t="s">
        <v>866</v>
      </c>
      <c r="E268" s="3">
        <v>2018</v>
      </c>
      <c r="F268" s="3">
        <v>28</v>
      </c>
      <c r="G268" s="3" t="s">
        <v>865</v>
      </c>
      <c r="H268" s="19">
        <v>2018</v>
      </c>
      <c r="I268" s="2" t="s">
        <v>2</v>
      </c>
    </row>
    <row r="269" spans="2:9" x14ac:dyDescent="0.25">
      <c r="B269" s="2" t="s">
        <v>128</v>
      </c>
      <c r="C269" s="3">
        <v>17</v>
      </c>
      <c r="D269" s="2" t="s">
        <v>866</v>
      </c>
      <c r="E269" s="3">
        <v>2018</v>
      </c>
      <c r="F269" s="3">
        <v>21</v>
      </c>
      <c r="G269" s="3" t="s">
        <v>865</v>
      </c>
      <c r="H269" s="19">
        <v>2018</v>
      </c>
      <c r="I269" s="2" t="s">
        <v>2</v>
      </c>
    </row>
    <row r="270" spans="2:9" x14ac:dyDescent="0.25">
      <c r="B270" s="2" t="s">
        <v>129</v>
      </c>
      <c r="C270" s="3">
        <v>17</v>
      </c>
      <c r="D270" s="2" t="s">
        <v>866</v>
      </c>
      <c r="E270" s="3">
        <v>2018</v>
      </c>
      <c r="F270" s="3">
        <v>8</v>
      </c>
      <c r="G270" s="3" t="s">
        <v>866</v>
      </c>
      <c r="H270" s="19">
        <v>2018</v>
      </c>
      <c r="I270" s="2" t="s">
        <v>3</v>
      </c>
    </row>
    <row r="271" spans="2:9" x14ac:dyDescent="0.25">
      <c r="B271" s="2" t="s">
        <v>130</v>
      </c>
      <c r="C271" s="3">
        <v>18</v>
      </c>
      <c r="D271" s="2" t="s">
        <v>866</v>
      </c>
      <c r="E271" s="3">
        <v>2018</v>
      </c>
      <c r="F271" s="3">
        <v>10</v>
      </c>
      <c r="G271" s="3" t="s">
        <v>857</v>
      </c>
      <c r="H271" s="19">
        <v>2015</v>
      </c>
      <c r="I271" s="2" t="s">
        <v>2</v>
      </c>
    </row>
    <row r="272" spans="2:9" x14ac:dyDescent="0.25">
      <c r="B272" s="2" t="s">
        <v>128</v>
      </c>
      <c r="C272" s="3">
        <v>18</v>
      </c>
      <c r="D272" s="2" t="s">
        <v>866</v>
      </c>
      <c r="E272" s="3">
        <v>2018</v>
      </c>
      <c r="F272" s="3">
        <v>2</v>
      </c>
      <c r="G272" s="3" t="s">
        <v>865</v>
      </c>
      <c r="H272" s="19">
        <v>2018</v>
      </c>
      <c r="I272" s="2" t="s">
        <v>3</v>
      </c>
    </row>
    <row r="273" spans="2:9" x14ac:dyDescent="0.25">
      <c r="B273" s="2" t="s">
        <v>129</v>
      </c>
      <c r="C273" s="3">
        <v>18</v>
      </c>
      <c r="D273" s="2" t="s">
        <v>866</v>
      </c>
      <c r="E273" s="3">
        <v>2018</v>
      </c>
      <c r="F273" s="3">
        <v>8</v>
      </c>
      <c r="G273" s="3" t="s">
        <v>866</v>
      </c>
      <c r="H273" s="19">
        <v>2018</v>
      </c>
      <c r="I273" s="2" t="s">
        <v>2</v>
      </c>
    </row>
    <row r="274" spans="2:9" x14ac:dyDescent="0.25">
      <c r="B274" s="2" t="s">
        <v>130</v>
      </c>
      <c r="C274" s="3">
        <v>18</v>
      </c>
      <c r="D274" s="2" t="s">
        <v>866</v>
      </c>
      <c r="E274" s="3">
        <v>2018</v>
      </c>
      <c r="F274" s="3">
        <v>8</v>
      </c>
      <c r="G274" s="3" t="s">
        <v>866</v>
      </c>
      <c r="H274" s="19">
        <v>2018</v>
      </c>
      <c r="I274" s="2" t="s">
        <v>2</v>
      </c>
    </row>
    <row r="275" spans="2:9" x14ac:dyDescent="0.25">
      <c r="B275" s="2" t="s">
        <v>128</v>
      </c>
      <c r="C275" s="3">
        <v>21</v>
      </c>
      <c r="D275" s="2" t="s">
        <v>866</v>
      </c>
      <c r="E275" s="3">
        <v>2018</v>
      </c>
      <c r="F275" s="3">
        <v>22</v>
      </c>
      <c r="G275" s="3" t="s">
        <v>865</v>
      </c>
      <c r="H275" s="19">
        <v>2018</v>
      </c>
      <c r="I275" s="2" t="s">
        <v>3</v>
      </c>
    </row>
    <row r="276" spans="2:9" x14ac:dyDescent="0.25">
      <c r="B276" s="2" t="s">
        <v>129</v>
      </c>
      <c r="C276" s="3">
        <v>21</v>
      </c>
      <c r="D276" s="2" t="s">
        <v>866</v>
      </c>
      <c r="E276" s="3">
        <v>2018</v>
      </c>
      <c r="F276" s="3">
        <v>3</v>
      </c>
      <c r="G276" s="3" t="s">
        <v>866</v>
      </c>
      <c r="H276" s="19">
        <v>2018</v>
      </c>
      <c r="I276" s="2" t="s">
        <v>3</v>
      </c>
    </row>
    <row r="277" spans="2:9" x14ac:dyDescent="0.25">
      <c r="B277" s="2" t="s">
        <v>130</v>
      </c>
      <c r="C277" s="3">
        <v>21</v>
      </c>
      <c r="D277" s="7" t="s">
        <v>866</v>
      </c>
      <c r="E277" s="3">
        <v>2018</v>
      </c>
      <c r="F277" s="3">
        <v>10</v>
      </c>
      <c r="G277" s="3" t="s">
        <v>866</v>
      </c>
      <c r="H277" s="19">
        <v>2018</v>
      </c>
      <c r="I277" s="2" t="s">
        <v>2</v>
      </c>
    </row>
    <row r="278" spans="2:9" x14ac:dyDescent="0.25">
      <c r="B278" s="2" t="s">
        <v>128</v>
      </c>
      <c r="C278" s="3">
        <v>21</v>
      </c>
      <c r="D278" s="2" t="s">
        <v>866</v>
      </c>
      <c r="E278" s="3">
        <v>2018</v>
      </c>
      <c r="F278" s="3">
        <v>1</v>
      </c>
      <c r="G278" s="3" t="s">
        <v>866</v>
      </c>
      <c r="H278" s="19">
        <v>2018</v>
      </c>
      <c r="I278" s="2" t="s">
        <v>2</v>
      </c>
    </row>
    <row r="279" spans="2:9" x14ac:dyDescent="0.25">
      <c r="B279" s="2" t="s">
        <v>129</v>
      </c>
      <c r="C279" s="3">
        <v>21</v>
      </c>
      <c r="D279" s="2" t="s">
        <v>866</v>
      </c>
      <c r="E279" s="3">
        <v>2018</v>
      </c>
      <c r="F279" s="3">
        <v>2</v>
      </c>
      <c r="G279" s="3" t="s">
        <v>865</v>
      </c>
      <c r="H279" s="19">
        <v>2018</v>
      </c>
      <c r="I279" s="2" t="s">
        <v>3</v>
      </c>
    </row>
    <row r="280" spans="2:9" x14ac:dyDescent="0.25">
      <c r="B280" s="2" t="s">
        <v>130</v>
      </c>
      <c r="C280" s="3">
        <v>21</v>
      </c>
      <c r="D280" s="2" t="s">
        <v>866</v>
      </c>
      <c r="E280" s="3">
        <v>2018</v>
      </c>
      <c r="F280" s="3">
        <v>13</v>
      </c>
      <c r="G280" s="3" t="s">
        <v>866</v>
      </c>
      <c r="H280" s="19">
        <v>2018</v>
      </c>
      <c r="I280" s="2" t="s">
        <v>3</v>
      </c>
    </row>
    <row r="281" spans="2:9" x14ac:dyDescent="0.25">
      <c r="B281" s="2" t="s">
        <v>128</v>
      </c>
      <c r="C281" s="3">
        <v>21</v>
      </c>
      <c r="D281" s="2" t="s">
        <v>866</v>
      </c>
      <c r="E281" s="3">
        <v>2018</v>
      </c>
      <c r="F281" s="3">
        <v>16</v>
      </c>
      <c r="G281" s="3" t="s">
        <v>856</v>
      </c>
      <c r="H281" s="19">
        <v>1936</v>
      </c>
      <c r="I281" s="2" t="s">
        <v>2</v>
      </c>
    </row>
    <row r="282" spans="2:9" x14ac:dyDescent="0.25">
      <c r="B282" s="2" t="s">
        <v>129</v>
      </c>
      <c r="C282" s="3">
        <v>22</v>
      </c>
      <c r="D282" s="2" t="s">
        <v>866</v>
      </c>
      <c r="E282" s="3">
        <v>2018</v>
      </c>
      <c r="F282" s="3">
        <v>24</v>
      </c>
      <c r="G282" s="3" t="s">
        <v>867</v>
      </c>
      <c r="H282" s="19">
        <v>2018</v>
      </c>
      <c r="I282" s="2" t="s">
        <v>3</v>
      </c>
    </row>
    <row r="283" spans="2:9" x14ac:dyDescent="0.25">
      <c r="B283" s="2" t="s">
        <v>130</v>
      </c>
      <c r="C283" s="3">
        <v>22</v>
      </c>
      <c r="D283" s="2" t="s">
        <v>866</v>
      </c>
      <c r="E283" s="3">
        <v>2018</v>
      </c>
      <c r="F283" s="3">
        <v>3</v>
      </c>
      <c r="G283" s="3" t="s">
        <v>868</v>
      </c>
      <c r="H283" s="19">
        <v>1962</v>
      </c>
      <c r="I283" s="2" t="s">
        <v>2</v>
      </c>
    </row>
    <row r="284" spans="2:9" x14ac:dyDescent="0.25">
      <c r="B284" s="2" t="s">
        <v>128</v>
      </c>
      <c r="C284" s="3">
        <v>25</v>
      </c>
      <c r="D284" s="2" t="s">
        <v>866</v>
      </c>
      <c r="E284" s="3">
        <v>2018</v>
      </c>
      <c r="F284" s="3">
        <v>23</v>
      </c>
      <c r="G284" s="3" t="s">
        <v>863</v>
      </c>
      <c r="H284" s="19">
        <v>2006</v>
      </c>
      <c r="I284" s="2" t="s">
        <v>2</v>
      </c>
    </row>
    <row r="285" spans="2:9" x14ac:dyDescent="0.25">
      <c r="B285" s="2" t="s">
        <v>129</v>
      </c>
      <c r="C285" s="3">
        <v>25</v>
      </c>
      <c r="D285" s="2" t="s">
        <v>866</v>
      </c>
      <c r="E285" s="3">
        <v>2018</v>
      </c>
      <c r="F285" s="3">
        <v>3</v>
      </c>
      <c r="G285" s="3" t="s">
        <v>857</v>
      </c>
      <c r="H285" s="19">
        <v>2017</v>
      </c>
      <c r="I285" s="2" t="s">
        <v>3</v>
      </c>
    </row>
    <row r="286" spans="2:9" x14ac:dyDescent="0.25">
      <c r="B286" s="2" t="s">
        <v>130</v>
      </c>
      <c r="C286" s="3">
        <v>25</v>
      </c>
      <c r="D286" s="7" t="s">
        <v>866</v>
      </c>
      <c r="E286" s="3">
        <v>2018</v>
      </c>
      <c r="F286" s="3">
        <v>31</v>
      </c>
      <c r="G286" s="3" t="s">
        <v>856</v>
      </c>
      <c r="H286" s="19">
        <v>2018</v>
      </c>
      <c r="I286" s="2" t="s">
        <v>3</v>
      </c>
    </row>
    <row r="287" spans="2:9" x14ac:dyDescent="0.25">
      <c r="B287" s="2" t="s">
        <v>128</v>
      </c>
      <c r="C287" s="3">
        <v>25</v>
      </c>
      <c r="D287" s="2" t="s">
        <v>866</v>
      </c>
      <c r="E287" s="3">
        <v>2018</v>
      </c>
      <c r="F287" s="3">
        <v>4</v>
      </c>
      <c r="G287" s="3" t="s">
        <v>866</v>
      </c>
      <c r="H287" s="19">
        <v>2018</v>
      </c>
      <c r="I287" s="2" t="s">
        <v>2</v>
      </c>
    </row>
    <row r="288" spans="2:9" x14ac:dyDescent="0.25">
      <c r="B288" s="2" t="s">
        <v>129</v>
      </c>
      <c r="C288" s="3">
        <v>25</v>
      </c>
      <c r="D288" s="2" t="s">
        <v>866</v>
      </c>
      <c r="E288" s="3">
        <v>2018</v>
      </c>
      <c r="F288" s="3">
        <v>8</v>
      </c>
      <c r="G288" s="3" t="s">
        <v>856</v>
      </c>
      <c r="H288" s="19">
        <v>1995</v>
      </c>
      <c r="I288" s="2" t="s">
        <v>2</v>
      </c>
    </row>
    <row r="289" spans="2:9" x14ac:dyDescent="0.25">
      <c r="B289" s="2" t="s">
        <v>130</v>
      </c>
      <c r="C289" s="3">
        <v>25</v>
      </c>
      <c r="D289" s="2" t="s">
        <v>866</v>
      </c>
      <c r="E289" s="3">
        <v>2018</v>
      </c>
      <c r="F289" s="3">
        <v>17</v>
      </c>
      <c r="G289" s="3" t="s">
        <v>865</v>
      </c>
      <c r="H289" s="19">
        <v>2018</v>
      </c>
      <c r="I289" s="2" t="s">
        <v>2</v>
      </c>
    </row>
    <row r="290" spans="2:9" x14ac:dyDescent="0.25">
      <c r="B290" s="2" t="s">
        <v>128</v>
      </c>
      <c r="C290" s="3">
        <v>28</v>
      </c>
      <c r="D290" s="2" t="s">
        <v>866</v>
      </c>
      <c r="E290" s="3">
        <v>2018</v>
      </c>
      <c r="F290" s="3">
        <v>5</v>
      </c>
      <c r="G290" s="3" t="s">
        <v>870</v>
      </c>
      <c r="H290" s="19">
        <v>1984</v>
      </c>
      <c r="I290" s="2" t="s">
        <v>2</v>
      </c>
    </row>
    <row r="291" spans="2:9" x14ac:dyDescent="0.25">
      <c r="B291" s="2" t="s">
        <v>129</v>
      </c>
      <c r="C291" s="3">
        <v>28</v>
      </c>
      <c r="D291" s="2" t="s">
        <v>866</v>
      </c>
      <c r="E291" s="3">
        <v>2018</v>
      </c>
      <c r="F291" s="3">
        <v>14</v>
      </c>
      <c r="G291" s="3" t="s">
        <v>866</v>
      </c>
      <c r="H291" s="19">
        <v>2017</v>
      </c>
      <c r="I291" s="2" t="s">
        <v>2</v>
      </c>
    </row>
    <row r="292" spans="2:9" x14ac:dyDescent="0.25">
      <c r="B292" s="2" t="s">
        <v>130</v>
      </c>
      <c r="C292" s="3">
        <v>28</v>
      </c>
      <c r="D292" s="2" t="s">
        <v>866</v>
      </c>
      <c r="E292" s="3">
        <v>2018</v>
      </c>
      <c r="F292" s="3">
        <v>9</v>
      </c>
      <c r="G292" s="3" t="s">
        <v>865</v>
      </c>
      <c r="H292" s="19">
        <v>2018</v>
      </c>
      <c r="I292" s="2" t="s">
        <v>3</v>
      </c>
    </row>
    <row r="293" spans="2:9" x14ac:dyDescent="0.25">
      <c r="B293" s="2" t="s">
        <v>128</v>
      </c>
      <c r="C293" s="3">
        <v>28</v>
      </c>
      <c r="D293" s="2" t="s">
        <v>866</v>
      </c>
      <c r="E293" s="3">
        <v>2018</v>
      </c>
      <c r="F293" s="3">
        <v>26</v>
      </c>
      <c r="G293" s="3" t="s">
        <v>863</v>
      </c>
      <c r="H293" s="19">
        <v>2017</v>
      </c>
      <c r="I293" s="2" t="s">
        <v>3</v>
      </c>
    </row>
    <row r="294" spans="2:9" x14ac:dyDescent="0.25">
      <c r="B294" s="2" t="s">
        <v>129</v>
      </c>
      <c r="C294" s="3">
        <v>29</v>
      </c>
      <c r="D294" s="2" t="s">
        <v>866</v>
      </c>
      <c r="E294" s="3">
        <v>2018</v>
      </c>
      <c r="F294" s="3">
        <v>24</v>
      </c>
      <c r="G294" s="3" t="s">
        <v>865</v>
      </c>
      <c r="H294" s="19">
        <v>2018</v>
      </c>
      <c r="I294" s="2" t="s">
        <v>2</v>
      </c>
    </row>
    <row r="295" spans="2:9" x14ac:dyDescent="0.25">
      <c r="B295" s="2" t="s">
        <v>130</v>
      </c>
      <c r="C295" s="3">
        <v>29</v>
      </c>
      <c r="D295" s="7" t="s">
        <v>866</v>
      </c>
      <c r="E295" s="3">
        <v>2018</v>
      </c>
      <c r="F295" s="3">
        <v>5</v>
      </c>
      <c r="G295" s="3" t="s">
        <v>866</v>
      </c>
      <c r="H295" s="19">
        <v>2018</v>
      </c>
      <c r="I295" s="2" t="s">
        <v>3</v>
      </c>
    </row>
    <row r="296" spans="2:9" x14ac:dyDescent="0.25">
      <c r="B296" s="2" t="s">
        <v>128</v>
      </c>
      <c r="C296" s="3">
        <v>29</v>
      </c>
      <c r="D296" s="2" t="s">
        <v>866</v>
      </c>
      <c r="E296" s="3">
        <v>2018</v>
      </c>
      <c r="F296" s="3">
        <v>13</v>
      </c>
      <c r="G296" s="3" t="s">
        <v>857</v>
      </c>
      <c r="H296" s="19">
        <v>1988</v>
      </c>
      <c r="I296" s="2" t="s">
        <v>3</v>
      </c>
    </row>
    <row r="297" spans="2:9" x14ac:dyDescent="0.25">
      <c r="B297" s="2" t="s">
        <v>129</v>
      </c>
      <c r="C297" s="3">
        <v>29</v>
      </c>
      <c r="D297" s="2" t="s">
        <v>866</v>
      </c>
      <c r="E297" s="3">
        <v>2018</v>
      </c>
      <c r="F297" s="3">
        <v>27</v>
      </c>
      <c r="G297" s="3" t="s">
        <v>864</v>
      </c>
      <c r="H297" s="19">
        <v>2008</v>
      </c>
      <c r="I297" s="2" t="s">
        <v>3</v>
      </c>
    </row>
    <row r="298" spans="2:9" x14ac:dyDescent="0.25">
      <c r="B298" s="2" t="s">
        <v>130</v>
      </c>
      <c r="C298" s="3">
        <v>29</v>
      </c>
      <c r="D298" s="2" t="s">
        <v>866</v>
      </c>
      <c r="E298" s="3">
        <v>2018</v>
      </c>
      <c r="F298" s="3">
        <v>23</v>
      </c>
      <c r="G298" s="3" t="s">
        <v>863</v>
      </c>
      <c r="H298" s="19">
        <v>2002</v>
      </c>
      <c r="I298" s="2" t="s">
        <v>3</v>
      </c>
    </row>
    <row r="299" spans="2:9" x14ac:dyDescent="0.25">
      <c r="B299" s="2" t="s">
        <v>128</v>
      </c>
      <c r="C299" s="3">
        <v>30</v>
      </c>
      <c r="D299" s="2" t="s">
        <v>866</v>
      </c>
      <c r="E299" s="3">
        <v>2018</v>
      </c>
      <c r="F299" s="3">
        <v>11</v>
      </c>
      <c r="G299" s="3" t="s">
        <v>866</v>
      </c>
      <c r="H299" s="19">
        <v>2017</v>
      </c>
      <c r="I299" s="2" t="s">
        <v>3</v>
      </c>
    </row>
    <row r="300" spans="2:9" x14ac:dyDescent="0.25">
      <c r="B300" s="2" t="s">
        <v>129</v>
      </c>
      <c r="C300" s="3">
        <v>30</v>
      </c>
      <c r="D300" s="2" t="s">
        <v>866</v>
      </c>
      <c r="E300" s="3">
        <v>2018</v>
      </c>
      <c r="F300" s="3">
        <v>22</v>
      </c>
      <c r="G300" s="3" t="s">
        <v>868</v>
      </c>
      <c r="H300" s="19">
        <v>2017</v>
      </c>
      <c r="I300" s="2" t="s">
        <v>3</v>
      </c>
    </row>
    <row r="301" spans="2:9" x14ac:dyDescent="0.25">
      <c r="B301" s="2" t="s">
        <v>130</v>
      </c>
      <c r="C301" s="3">
        <v>30</v>
      </c>
      <c r="D301" s="2" t="s">
        <v>866</v>
      </c>
      <c r="E301" s="3">
        <v>2018</v>
      </c>
      <c r="F301" s="3">
        <v>24</v>
      </c>
      <c r="G301" s="3" t="s">
        <v>865</v>
      </c>
      <c r="H301" s="19">
        <v>2018</v>
      </c>
      <c r="I301" s="2" t="s">
        <v>2</v>
      </c>
    </row>
    <row r="302" spans="2:9" x14ac:dyDescent="0.25">
      <c r="B302" s="2" t="s">
        <v>128</v>
      </c>
      <c r="C302" s="3">
        <v>30</v>
      </c>
      <c r="D302" s="2" t="s">
        <v>866</v>
      </c>
      <c r="E302" s="3">
        <v>2018</v>
      </c>
      <c r="F302" s="3">
        <v>21</v>
      </c>
      <c r="G302" s="3" t="s">
        <v>866</v>
      </c>
      <c r="H302" s="19">
        <v>2018</v>
      </c>
      <c r="I302" s="2" t="s">
        <v>3</v>
      </c>
    </row>
    <row r="303" spans="2:9" x14ac:dyDescent="0.25">
      <c r="B303" s="2" t="s">
        <v>129</v>
      </c>
      <c r="C303" s="3">
        <v>1</v>
      </c>
      <c r="D303" s="2" t="s">
        <v>868</v>
      </c>
      <c r="E303" s="3">
        <v>2018</v>
      </c>
      <c r="F303" s="3">
        <v>14</v>
      </c>
      <c r="G303" s="3" t="s">
        <v>865</v>
      </c>
      <c r="H303" s="20">
        <v>2017</v>
      </c>
      <c r="I303" s="7" t="s">
        <v>2</v>
      </c>
    </row>
    <row r="304" spans="2:9" x14ac:dyDescent="0.25">
      <c r="B304" s="2" t="s">
        <v>130</v>
      </c>
      <c r="C304" s="3">
        <v>1</v>
      </c>
      <c r="D304" s="2" t="s">
        <v>868</v>
      </c>
      <c r="E304" s="3">
        <v>2018</v>
      </c>
      <c r="F304" s="3">
        <v>5</v>
      </c>
      <c r="G304" s="3" t="s">
        <v>856</v>
      </c>
      <c r="H304" s="19">
        <v>2009</v>
      </c>
      <c r="I304" s="2" t="s">
        <v>3</v>
      </c>
    </row>
    <row r="305" spans="2:9" x14ac:dyDescent="0.25">
      <c r="B305" s="2" t="s">
        <v>131</v>
      </c>
      <c r="C305" s="3">
        <v>1</v>
      </c>
      <c r="D305" s="2" t="s">
        <v>868</v>
      </c>
      <c r="E305" s="3">
        <v>2018</v>
      </c>
      <c r="F305" s="3">
        <v>21</v>
      </c>
      <c r="G305" s="3" t="s">
        <v>865</v>
      </c>
      <c r="H305" s="19">
        <v>2014</v>
      </c>
      <c r="I305" s="2" t="s">
        <v>3</v>
      </c>
    </row>
    <row r="306" spans="2:9" x14ac:dyDescent="0.25">
      <c r="B306" s="2" t="s">
        <v>132</v>
      </c>
      <c r="C306" s="3">
        <v>1</v>
      </c>
      <c r="D306" s="2" t="s">
        <v>868</v>
      </c>
      <c r="E306" s="3">
        <v>2018</v>
      </c>
      <c r="F306" s="3">
        <v>30</v>
      </c>
      <c r="G306" s="3" t="s">
        <v>866</v>
      </c>
      <c r="H306" s="19">
        <v>2018</v>
      </c>
      <c r="I306" s="2" t="s">
        <v>3</v>
      </c>
    </row>
    <row r="307" spans="2:9" x14ac:dyDescent="0.25">
      <c r="B307" s="2" t="s">
        <v>133</v>
      </c>
      <c r="C307" s="3">
        <v>1</v>
      </c>
      <c r="D307" s="2" t="s">
        <v>868</v>
      </c>
      <c r="E307" s="3">
        <v>2018</v>
      </c>
      <c r="F307" s="3">
        <v>30</v>
      </c>
      <c r="G307" s="3" t="s">
        <v>866</v>
      </c>
      <c r="H307" s="19">
        <v>2018</v>
      </c>
      <c r="I307" s="2" t="s">
        <v>3</v>
      </c>
    </row>
    <row r="308" spans="2:9" x14ac:dyDescent="0.25">
      <c r="B308" s="2" t="s">
        <v>134</v>
      </c>
      <c r="C308" s="3">
        <v>4</v>
      </c>
      <c r="D308" s="2" t="s">
        <v>868</v>
      </c>
      <c r="E308" s="3">
        <v>2018</v>
      </c>
      <c r="F308" s="3">
        <v>10</v>
      </c>
      <c r="G308" s="3" t="s">
        <v>866</v>
      </c>
      <c r="H308" s="19">
        <v>2018</v>
      </c>
      <c r="I308" s="2" t="s">
        <v>3</v>
      </c>
    </row>
    <row r="309" spans="2:9" x14ac:dyDescent="0.25">
      <c r="B309" s="2" t="s">
        <v>135</v>
      </c>
      <c r="C309" s="3">
        <v>4</v>
      </c>
      <c r="D309" s="2" t="s">
        <v>868</v>
      </c>
      <c r="E309" s="3">
        <v>2018</v>
      </c>
      <c r="F309" s="3">
        <v>1</v>
      </c>
      <c r="G309" s="3" t="s">
        <v>866</v>
      </c>
      <c r="H309" s="19">
        <v>2018</v>
      </c>
      <c r="I309" s="2" t="s">
        <v>2</v>
      </c>
    </row>
    <row r="310" spans="2:9" x14ac:dyDescent="0.25">
      <c r="B310" s="2" t="s">
        <v>136</v>
      </c>
      <c r="C310" s="3">
        <v>4</v>
      </c>
      <c r="D310" s="2" t="s">
        <v>868</v>
      </c>
      <c r="E310" s="3">
        <v>2018</v>
      </c>
      <c r="F310" s="3">
        <v>20</v>
      </c>
      <c r="G310" s="3" t="s">
        <v>865</v>
      </c>
      <c r="H310" s="19">
        <v>2018</v>
      </c>
      <c r="I310" s="2" t="s">
        <v>2</v>
      </c>
    </row>
    <row r="311" spans="2:9" x14ac:dyDescent="0.25">
      <c r="B311" s="2" t="s">
        <v>137</v>
      </c>
      <c r="C311" s="3">
        <v>4</v>
      </c>
      <c r="D311" s="2" t="s">
        <v>868</v>
      </c>
      <c r="E311" s="3">
        <v>2018</v>
      </c>
      <c r="F311" s="3">
        <v>2</v>
      </c>
      <c r="G311" s="3" t="s">
        <v>868</v>
      </c>
      <c r="H311" s="19">
        <v>2018</v>
      </c>
      <c r="I311" s="2" t="s">
        <v>2</v>
      </c>
    </row>
    <row r="312" spans="2:9" x14ac:dyDescent="0.25">
      <c r="B312" s="2" t="s">
        <v>138</v>
      </c>
      <c r="C312" s="3">
        <v>4</v>
      </c>
      <c r="D312" s="2" t="s">
        <v>868</v>
      </c>
      <c r="E312" s="3">
        <v>2018</v>
      </c>
      <c r="F312" s="3">
        <v>13</v>
      </c>
      <c r="G312" s="3" t="s">
        <v>867</v>
      </c>
      <c r="H312" s="19">
        <v>2018</v>
      </c>
      <c r="I312" s="2" t="s">
        <v>3</v>
      </c>
    </row>
    <row r="313" spans="2:9" x14ac:dyDescent="0.25">
      <c r="B313" s="2" t="s">
        <v>139</v>
      </c>
      <c r="C313" s="3">
        <v>4</v>
      </c>
      <c r="D313" s="2" t="s">
        <v>868</v>
      </c>
      <c r="E313" s="3">
        <v>2018</v>
      </c>
      <c r="F313" s="3">
        <v>25</v>
      </c>
      <c r="G313" s="3" t="s">
        <v>867</v>
      </c>
      <c r="H313" s="19">
        <v>2018</v>
      </c>
      <c r="I313" s="2" t="s">
        <v>3</v>
      </c>
    </row>
    <row r="314" spans="2:9" x14ac:dyDescent="0.25">
      <c r="B314" s="2" t="s">
        <v>140</v>
      </c>
      <c r="C314" s="3">
        <v>4</v>
      </c>
      <c r="D314" s="2" t="s">
        <v>868</v>
      </c>
      <c r="E314" s="3">
        <v>2018</v>
      </c>
      <c r="F314" s="3">
        <v>29</v>
      </c>
      <c r="G314" s="3" t="s">
        <v>866</v>
      </c>
      <c r="H314" s="19">
        <v>2018</v>
      </c>
      <c r="I314" s="2" t="s">
        <v>3</v>
      </c>
    </row>
    <row r="315" spans="2:9" x14ac:dyDescent="0.25">
      <c r="B315" s="2" t="s">
        <v>141</v>
      </c>
      <c r="C315" s="3">
        <v>5</v>
      </c>
      <c r="D315" s="2" t="s">
        <v>868</v>
      </c>
      <c r="E315" s="3">
        <v>2018</v>
      </c>
      <c r="F315" s="3">
        <v>20</v>
      </c>
      <c r="G315" s="3" t="s">
        <v>866</v>
      </c>
      <c r="H315" s="19">
        <v>2018</v>
      </c>
      <c r="I315" s="2" t="s">
        <v>3</v>
      </c>
    </row>
    <row r="316" spans="2:9" x14ac:dyDescent="0.25">
      <c r="B316" s="2" t="s">
        <v>142</v>
      </c>
      <c r="C316" s="3">
        <v>5</v>
      </c>
      <c r="D316" s="2" t="s">
        <v>868</v>
      </c>
      <c r="E316" s="3">
        <v>2018</v>
      </c>
      <c r="F316" s="3">
        <v>5</v>
      </c>
      <c r="G316" s="3" t="s">
        <v>868</v>
      </c>
      <c r="H316" s="19">
        <v>2017</v>
      </c>
      <c r="I316" s="2" t="s">
        <v>2</v>
      </c>
    </row>
    <row r="317" spans="2:9" x14ac:dyDescent="0.25">
      <c r="B317" s="2" t="s">
        <v>143</v>
      </c>
      <c r="C317" s="3">
        <v>5</v>
      </c>
      <c r="D317" s="2" t="s">
        <v>868</v>
      </c>
      <c r="E317" s="3">
        <v>2018</v>
      </c>
      <c r="F317" s="3">
        <v>5</v>
      </c>
      <c r="G317" s="3" t="s">
        <v>868</v>
      </c>
      <c r="H317" s="19">
        <v>2017</v>
      </c>
      <c r="I317" s="2" t="s">
        <v>2</v>
      </c>
    </row>
    <row r="318" spans="2:9" x14ac:dyDescent="0.25">
      <c r="B318" s="2" t="s">
        <v>144</v>
      </c>
      <c r="C318" s="3">
        <v>5</v>
      </c>
      <c r="D318" s="2" t="s">
        <v>868</v>
      </c>
      <c r="E318" s="3">
        <v>2018</v>
      </c>
      <c r="F318" s="3">
        <v>11</v>
      </c>
      <c r="G318" s="3" t="s">
        <v>865</v>
      </c>
      <c r="H318" s="19">
        <v>2018</v>
      </c>
      <c r="I318" s="2" t="s">
        <v>3</v>
      </c>
    </row>
    <row r="319" spans="2:9" x14ac:dyDescent="0.25">
      <c r="B319" s="2" t="s">
        <v>145</v>
      </c>
      <c r="C319" s="3">
        <v>5</v>
      </c>
      <c r="D319" s="2" t="s">
        <v>868</v>
      </c>
      <c r="E319" s="3">
        <v>2018</v>
      </c>
      <c r="F319" s="3">
        <v>31</v>
      </c>
      <c r="G319" s="3" t="s">
        <v>866</v>
      </c>
      <c r="H319" s="19">
        <v>2018</v>
      </c>
      <c r="I319" s="2" t="s">
        <v>2</v>
      </c>
    </row>
    <row r="320" spans="2:9" x14ac:dyDescent="0.25">
      <c r="B320" s="2" t="s">
        <v>146</v>
      </c>
      <c r="C320" s="3">
        <v>5</v>
      </c>
      <c r="D320" s="2" t="s">
        <v>868</v>
      </c>
      <c r="E320" s="3">
        <v>2018</v>
      </c>
      <c r="F320" s="3">
        <v>21</v>
      </c>
      <c r="G320" s="3" t="s">
        <v>866</v>
      </c>
      <c r="H320" s="19">
        <v>2012</v>
      </c>
      <c r="I320" s="2" t="s">
        <v>3</v>
      </c>
    </row>
    <row r="321" spans="2:9" x14ac:dyDescent="0.25">
      <c r="B321" s="2" t="s">
        <v>147</v>
      </c>
      <c r="C321" s="3">
        <v>6</v>
      </c>
      <c r="D321" s="2" t="s">
        <v>868</v>
      </c>
      <c r="E321" s="3">
        <v>2018</v>
      </c>
      <c r="F321" s="3">
        <v>17</v>
      </c>
      <c r="G321" s="3" t="s">
        <v>866</v>
      </c>
      <c r="H321" s="19">
        <v>2018</v>
      </c>
      <c r="I321" s="2" t="s">
        <v>2</v>
      </c>
    </row>
    <row r="322" spans="2:9" x14ac:dyDescent="0.25">
      <c r="B322" s="2" t="s">
        <v>148</v>
      </c>
      <c r="C322" s="3">
        <v>6</v>
      </c>
      <c r="D322" s="2" t="s">
        <v>868</v>
      </c>
      <c r="E322" s="3">
        <v>2018</v>
      </c>
      <c r="F322" s="3">
        <v>13</v>
      </c>
      <c r="G322" s="3" t="s">
        <v>856</v>
      </c>
      <c r="H322" s="19">
        <v>2018</v>
      </c>
      <c r="I322" s="2" t="s">
        <v>3</v>
      </c>
    </row>
    <row r="323" spans="2:9" x14ac:dyDescent="0.25">
      <c r="B323" s="2" t="s">
        <v>149</v>
      </c>
      <c r="C323" s="3">
        <v>7</v>
      </c>
      <c r="D323" s="2" t="s">
        <v>868</v>
      </c>
      <c r="E323" s="3">
        <v>2018</v>
      </c>
      <c r="F323" s="3">
        <v>30</v>
      </c>
      <c r="G323" s="3" t="s">
        <v>856</v>
      </c>
      <c r="H323" s="19">
        <v>2018</v>
      </c>
      <c r="I323" s="2" t="s">
        <v>2</v>
      </c>
    </row>
    <row r="324" spans="2:9" x14ac:dyDescent="0.25">
      <c r="B324" s="2" t="s">
        <v>150</v>
      </c>
      <c r="C324" s="3">
        <v>7</v>
      </c>
      <c r="D324" s="2" t="s">
        <v>868</v>
      </c>
      <c r="E324" s="3">
        <v>2018</v>
      </c>
      <c r="F324" s="3">
        <v>18</v>
      </c>
      <c r="G324" s="3" t="s">
        <v>866</v>
      </c>
      <c r="H324" s="19">
        <v>2018</v>
      </c>
      <c r="I324" s="2" t="s">
        <v>3</v>
      </c>
    </row>
    <row r="325" spans="2:9" x14ac:dyDescent="0.25">
      <c r="B325" s="2" t="s">
        <v>151</v>
      </c>
      <c r="C325" s="3">
        <v>7</v>
      </c>
      <c r="D325" s="2" t="s">
        <v>868</v>
      </c>
      <c r="E325" s="3">
        <v>2018</v>
      </c>
      <c r="F325" s="3">
        <v>26</v>
      </c>
      <c r="G325" s="3" t="s">
        <v>857</v>
      </c>
      <c r="H325" s="19">
        <v>2014</v>
      </c>
      <c r="I325" s="2" t="s">
        <v>2</v>
      </c>
    </row>
    <row r="326" spans="2:9" x14ac:dyDescent="0.25">
      <c r="B326" s="2" t="s">
        <v>152</v>
      </c>
      <c r="C326" s="3">
        <v>11</v>
      </c>
      <c r="D326" s="2" t="s">
        <v>868</v>
      </c>
      <c r="E326" s="3">
        <v>2018</v>
      </c>
      <c r="F326" s="3">
        <v>2</v>
      </c>
      <c r="G326" s="3" t="s">
        <v>868</v>
      </c>
      <c r="H326" s="19">
        <v>2018</v>
      </c>
      <c r="I326" s="2" t="s">
        <v>2</v>
      </c>
    </row>
    <row r="327" spans="2:9" x14ac:dyDescent="0.25">
      <c r="B327" s="2" t="s">
        <v>153</v>
      </c>
      <c r="C327" s="3">
        <v>12</v>
      </c>
      <c r="D327" s="2" t="s">
        <v>868</v>
      </c>
      <c r="E327" s="3">
        <v>2018</v>
      </c>
      <c r="F327" s="3">
        <v>14</v>
      </c>
      <c r="G327" s="3" t="s">
        <v>865</v>
      </c>
      <c r="H327" s="19">
        <v>2018</v>
      </c>
      <c r="I327" s="2" t="s">
        <v>3</v>
      </c>
    </row>
    <row r="328" spans="2:9" x14ac:dyDescent="0.25">
      <c r="B328" s="2" t="s">
        <v>154</v>
      </c>
      <c r="C328" s="3">
        <v>12</v>
      </c>
      <c r="D328" s="2" t="s">
        <v>868</v>
      </c>
      <c r="E328" s="3">
        <v>2018</v>
      </c>
      <c r="F328" s="3">
        <v>31</v>
      </c>
      <c r="G328" s="3" t="s">
        <v>866</v>
      </c>
      <c r="H328" s="19">
        <v>2018</v>
      </c>
      <c r="I328" s="2" t="s">
        <v>3</v>
      </c>
    </row>
    <row r="329" spans="2:9" x14ac:dyDescent="0.25">
      <c r="B329" s="2" t="s">
        <v>155</v>
      </c>
      <c r="C329" s="3">
        <v>13</v>
      </c>
      <c r="D329" s="2" t="s">
        <v>868</v>
      </c>
      <c r="E329" s="3">
        <v>2018</v>
      </c>
      <c r="F329" s="3">
        <v>28</v>
      </c>
      <c r="G329" s="3" t="s">
        <v>866</v>
      </c>
      <c r="H329" s="19">
        <v>2018</v>
      </c>
      <c r="I329" s="2" t="s">
        <v>3</v>
      </c>
    </row>
    <row r="330" spans="2:9" x14ac:dyDescent="0.25">
      <c r="B330" s="2" t="s">
        <v>156</v>
      </c>
      <c r="C330" s="3">
        <v>13</v>
      </c>
      <c r="D330" s="2" t="s">
        <v>868</v>
      </c>
      <c r="E330" s="3">
        <v>2018</v>
      </c>
      <c r="F330" s="3">
        <v>31</v>
      </c>
      <c r="G330" s="3" t="s">
        <v>866</v>
      </c>
      <c r="H330" s="19">
        <v>2018</v>
      </c>
      <c r="I330" s="2" t="s">
        <v>3</v>
      </c>
    </row>
    <row r="331" spans="2:9" x14ac:dyDescent="0.25">
      <c r="B331" s="2" t="s">
        <v>157</v>
      </c>
      <c r="C331" s="3">
        <v>13</v>
      </c>
      <c r="D331" s="2" t="s">
        <v>868</v>
      </c>
      <c r="E331" s="3">
        <v>2018</v>
      </c>
      <c r="F331" s="3">
        <v>22</v>
      </c>
      <c r="G331" s="3" t="s">
        <v>865</v>
      </c>
      <c r="H331" s="20">
        <v>2018</v>
      </c>
      <c r="I331" s="2" t="s">
        <v>3</v>
      </c>
    </row>
    <row r="332" spans="2:9" x14ac:dyDescent="0.25">
      <c r="B332" s="2" t="s">
        <v>158</v>
      </c>
      <c r="C332" s="3">
        <v>13</v>
      </c>
      <c r="D332" s="2" t="s">
        <v>868</v>
      </c>
      <c r="E332" s="3">
        <v>2018</v>
      </c>
      <c r="F332" s="3">
        <v>22</v>
      </c>
      <c r="G332" s="3" t="s">
        <v>866</v>
      </c>
      <c r="H332" s="19">
        <v>2018</v>
      </c>
      <c r="I332" s="2" t="s">
        <v>2</v>
      </c>
    </row>
    <row r="333" spans="2:9" x14ac:dyDescent="0.25">
      <c r="B333" s="2" t="s">
        <v>159</v>
      </c>
      <c r="C333" s="3">
        <v>13</v>
      </c>
      <c r="D333" s="2" t="s">
        <v>868</v>
      </c>
      <c r="E333" s="3">
        <v>2018</v>
      </c>
      <c r="F333" s="3">
        <v>15</v>
      </c>
      <c r="G333" s="3" t="s">
        <v>870</v>
      </c>
      <c r="H333" s="19">
        <v>2017</v>
      </c>
      <c r="I333" s="2" t="s">
        <v>2</v>
      </c>
    </row>
    <row r="334" spans="2:9" x14ac:dyDescent="0.25">
      <c r="B334" s="2" t="s">
        <v>160</v>
      </c>
      <c r="C334" s="3">
        <v>14</v>
      </c>
      <c r="D334" s="2" t="s">
        <v>868</v>
      </c>
      <c r="E334" s="3">
        <v>2018</v>
      </c>
      <c r="F334" s="3">
        <v>1</v>
      </c>
      <c r="G334" s="3" t="s">
        <v>867</v>
      </c>
      <c r="H334" s="19">
        <v>2018</v>
      </c>
      <c r="I334" s="2" t="s">
        <v>3</v>
      </c>
    </row>
    <row r="335" spans="2:9" x14ac:dyDescent="0.25">
      <c r="B335" s="2" t="s">
        <v>161</v>
      </c>
      <c r="C335" s="3">
        <v>20</v>
      </c>
      <c r="D335" s="2" t="s">
        <v>868</v>
      </c>
      <c r="E335" s="3">
        <v>2018</v>
      </c>
      <c r="F335" s="3">
        <v>3</v>
      </c>
      <c r="G335" s="3" t="s">
        <v>865</v>
      </c>
      <c r="H335" s="19">
        <v>2018</v>
      </c>
      <c r="I335" s="2" t="s">
        <v>3</v>
      </c>
    </row>
    <row r="336" spans="2:9" x14ac:dyDescent="0.25">
      <c r="B336" s="2" t="s">
        <v>162</v>
      </c>
      <c r="C336" s="3">
        <v>20</v>
      </c>
      <c r="D336" s="2" t="s">
        <v>868</v>
      </c>
      <c r="E336" s="3">
        <v>2018</v>
      </c>
      <c r="F336" s="3">
        <v>6</v>
      </c>
      <c r="G336" s="3" t="s">
        <v>866</v>
      </c>
      <c r="H336" s="19">
        <v>2018</v>
      </c>
      <c r="I336" s="2" t="s">
        <v>2</v>
      </c>
    </row>
    <row r="337" spans="2:9" x14ac:dyDescent="0.25">
      <c r="B337" s="2" t="s">
        <v>163</v>
      </c>
      <c r="C337" s="3">
        <v>28</v>
      </c>
      <c r="D337" s="2" t="s">
        <v>868</v>
      </c>
      <c r="E337" s="3">
        <v>2018</v>
      </c>
      <c r="F337" s="3">
        <v>22</v>
      </c>
      <c r="G337" s="3" t="s">
        <v>868</v>
      </c>
      <c r="H337" s="19">
        <v>2018</v>
      </c>
      <c r="I337" s="2" t="s">
        <v>2</v>
      </c>
    </row>
    <row r="338" spans="2:9" x14ac:dyDescent="0.25">
      <c r="B338" s="2" t="s">
        <v>164</v>
      </c>
      <c r="C338" s="3">
        <v>28</v>
      </c>
      <c r="D338" s="2" t="s">
        <v>868</v>
      </c>
      <c r="E338" s="3">
        <v>2018</v>
      </c>
      <c r="F338" s="3">
        <v>26</v>
      </c>
      <c r="G338" s="3" t="s">
        <v>861</v>
      </c>
      <c r="H338" s="19">
        <v>2016</v>
      </c>
      <c r="I338" s="2" t="s">
        <v>2</v>
      </c>
    </row>
    <row r="339" spans="2:9" x14ac:dyDescent="0.25">
      <c r="B339" s="2" t="s">
        <v>165</v>
      </c>
      <c r="C339" s="3">
        <v>29</v>
      </c>
      <c r="D339" s="2" t="s">
        <v>868</v>
      </c>
      <c r="E339" s="3">
        <v>2018</v>
      </c>
      <c r="F339" s="3">
        <v>31</v>
      </c>
      <c r="G339" s="3" t="s">
        <v>866</v>
      </c>
      <c r="H339" s="19">
        <v>2018</v>
      </c>
      <c r="I339" s="2" t="s">
        <v>3</v>
      </c>
    </row>
    <row r="340" spans="2:9" x14ac:dyDescent="0.25">
      <c r="B340" s="2" t="s">
        <v>166</v>
      </c>
      <c r="C340" s="3">
        <v>29</v>
      </c>
      <c r="D340" s="2" t="s">
        <v>868</v>
      </c>
      <c r="E340" s="3">
        <v>2018</v>
      </c>
      <c r="F340" s="3">
        <v>2</v>
      </c>
      <c r="G340" s="3" t="s">
        <v>865</v>
      </c>
      <c r="H340" s="19">
        <v>1937</v>
      </c>
      <c r="I340" s="2" t="s">
        <v>3</v>
      </c>
    </row>
    <row r="341" spans="2:9" x14ac:dyDescent="0.25">
      <c r="B341" s="2" t="s">
        <v>167</v>
      </c>
      <c r="C341" s="3">
        <v>29</v>
      </c>
      <c r="D341" s="2" t="s">
        <v>868</v>
      </c>
      <c r="E341" s="3">
        <v>2018</v>
      </c>
      <c r="F341" s="3">
        <v>1</v>
      </c>
      <c r="G341" s="3" t="s">
        <v>867</v>
      </c>
      <c r="H341" s="19">
        <v>2014</v>
      </c>
      <c r="I341" s="2" t="s">
        <v>2</v>
      </c>
    </row>
    <row r="342" spans="2:9" x14ac:dyDescent="0.25">
      <c r="B342" s="2" t="s">
        <v>168</v>
      </c>
      <c r="C342" s="3">
        <v>29</v>
      </c>
      <c r="D342" s="2" t="s">
        <v>868</v>
      </c>
      <c r="E342" s="3">
        <v>2018</v>
      </c>
      <c r="F342" s="3">
        <v>13</v>
      </c>
      <c r="G342" s="3" t="s">
        <v>868</v>
      </c>
      <c r="H342" s="19">
        <v>2018</v>
      </c>
      <c r="I342" s="2" t="s">
        <v>2</v>
      </c>
    </row>
    <row r="343" spans="2:9" x14ac:dyDescent="0.25">
      <c r="B343" s="2" t="s">
        <v>169</v>
      </c>
      <c r="C343" s="3">
        <v>29</v>
      </c>
      <c r="D343" s="2" t="s">
        <v>868</v>
      </c>
      <c r="E343" s="3">
        <v>2018</v>
      </c>
      <c r="F343" s="3">
        <v>23</v>
      </c>
      <c r="G343" s="3" t="s">
        <v>865</v>
      </c>
      <c r="H343" s="19">
        <v>2018</v>
      </c>
      <c r="I343" s="2" t="s">
        <v>3</v>
      </c>
    </row>
    <row r="344" spans="2:9" x14ac:dyDescent="0.25">
      <c r="B344" s="2" t="s">
        <v>170</v>
      </c>
      <c r="C344" s="3">
        <v>29</v>
      </c>
      <c r="D344" s="2" t="s">
        <v>868</v>
      </c>
      <c r="E344" s="3">
        <v>2018</v>
      </c>
      <c r="F344" s="3">
        <v>25</v>
      </c>
      <c r="G344" s="3" t="s">
        <v>868</v>
      </c>
      <c r="H344" s="19">
        <v>2013</v>
      </c>
      <c r="I344" s="2" t="s">
        <v>2</v>
      </c>
    </row>
    <row r="345" spans="2:9" x14ac:dyDescent="0.25">
      <c r="B345" s="2" t="s">
        <v>171</v>
      </c>
      <c r="C345" s="3">
        <v>2</v>
      </c>
      <c r="D345" s="2" t="s">
        <v>864</v>
      </c>
      <c r="E345" s="3">
        <v>2018</v>
      </c>
      <c r="F345" s="3">
        <v>24</v>
      </c>
      <c r="G345" s="3" t="s">
        <v>868</v>
      </c>
      <c r="H345" s="19">
        <v>2018</v>
      </c>
      <c r="I345" s="2" t="s">
        <v>3</v>
      </c>
    </row>
    <row r="346" spans="2:9" x14ac:dyDescent="0.25">
      <c r="B346" s="2" t="s">
        <v>172</v>
      </c>
      <c r="C346" s="3">
        <v>3</v>
      </c>
      <c r="D346" s="2" t="s">
        <v>864</v>
      </c>
      <c r="E346" s="3">
        <v>2018</v>
      </c>
      <c r="F346" s="3">
        <v>21</v>
      </c>
      <c r="G346" s="3" t="s">
        <v>867</v>
      </c>
      <c r="H346" s="19">
        <v>2018</v>
      </c>
      <c r="I346" s="2" t="s">
        <v>3</v>
      </c>
    </row>
    <row r="347" spans="2:9" x14ac:dyDescent="0.25">
      <c r="B347" s="2" t="s">
        <v>173</v>
      </c>
      <c r="C347" s="3">
        <v>9</v>
      </c>
      <c r="D347" s="2" t="s">
        <v>864</v>
      </c>
      <c r="E347" s="3">
        <v>2018</v>
      </c>
      <c r="F347" s="3">
        <v>16</v>
      </c>
      <c r="G347" s="3" t="s">
        <v>865</v>
      </c>
      <c r="H347" s="19">
        <v>2018</v>
      </c>
      <c r="I347" s="2" t="s">
        <v>3</v>
      </c>
    </row>
    <row r="348" spans="2:9" x14ac:dyDescent="0.25">
      <c r="B348" s="2" t="s">
        <v>174</v>
      </c>
      <c r="C348" s="3">
        <v>10</v>
      </c>
      <c r="D348" s="2" t="s">
        <v>864</v>
      </c>
      <c r="E348" s="3">
        <v>2018</v>
      </c>
      <c r="F348" s="3">
        <v>25</v>
      </c>
      <c r="G348" s="3" t="s">
        <v>868</v>
      </c>
      <c r="H348" s="19">
        <v>2018</v>
      </c>
      <c r="I348" s="2" t="s">
        <v>3</v>
      </c>
    </row>
    <row r="349" spans="2:9" x14ac:dyDescent="0.25">
      <c r="B349" s="2" t="s">
        <v>175</v>
      </c>
      <c r="C349" s="3">
        <v>10</v>
      </c>
      <c r="D349" s="2" t="s">
        <v>864</v>
      </c>
      <c r="E349" s="3">
        <v>2018</v>
      </c>
      <c r="F349" s="3">
        <v>14</v>
      </c>
      <c r="G349" s="3" t="s">
        <v>866</v>
      </c>
      <c r="H349" s="19">
        <v>2017</v>
      </c>
      <c r="I349" s="2" t="s">
        <v>3</v>
      </c>
    </row>
    <row r="350" spans="2:9" x14ac:dyDescent="0.25">
      <c r="B350" s="2" t="s">
        <v>176</v>
      </c>
      <c r="C350" s="3">
        <v>10</v>
      </c>
      <c r="D350" s="2" t="s">
        <v>864</v>
      </c>
      <c r="E350" s="3">
        <v>2018</v>
      </c>
      <c r="F350" s="3">
        <v>26</v>
      </c>
      <c r="G350" s="3" t="s">
        <v>861</v>
      </c>
      <c r="H350" s="19">
        <v>2018</v>
      </c>
      <c r="I350" s="2" t="s">
        <v>3</v>
      </c>
    </row>
    <row r="351" spans="2:9" x14ac:dyDescent="0.25">
      <c r="B351" s="2" t="s">
        <v>177</v>
      </c>
      <c r="C351" s="3">
        <v>10</v>
      </c>
      <c r="D351" s="2" t="s">
        <v>864</v>
      </c>
      <c r="E351" s="3">
        <v>2018</v>
      </c>
      <c r="F351" s="3">
        <v>9</v>
      </c>
      <c r="G351" s="3" t="s">
        <v>865</v>
      </c>
      <c r="H351" s="19">
        <v>2018</v>
      </c>
      <c r="I351" s="2" t="s">
        <v>2</v>
      </c>
    </row>
    <row r="352" spans="2:9" x14ac:dyDescent="0.25">
      <c r="B352" s="2" t="s">
        <v>178</v>
      </c>
      <c r="C352" s="3">
        <v>12</v>
      </c>
      <c r="D352" s="2" t="s">
        <v>864</v>
      </c>
      <c r="E352" s="3">
        <v>2018</v>
      </c>
      <c r="F352" s="3">
        <v>15</v>
      </c>
      <c r="G352" s="3" t="s">
        <v>868</v>
      </c>
      <c r="H352" s="19">
        <v>2018</v>
      </c>
      <c r="I352" s="2" t="s">
        <v>2</v>
      </c>
    </row>
    <row r="353" spans="2:9" x14ac:dyDescent="0.25">
      <c r="B353" s="2" t="s">
        <v>179</v>
      </c>
      <c r="C353" s="3">
        <v>12</v>
      </c>
      <c r="D353" s="2" t="s">
        <v>864</v>
      </c>
      <c r="E353" s="3">
        <v>2018</v>
      </c>
      <c r="F353" s="3">
        <v>26</v>
      </c>
      <c r="G353" s="3" t="s">
        <v>856</v>
      </c>
      <c r="H353" s="19">
        <v>2018</v>
      </c>
      <c r="I353" s="2" t="s">
        <v>3</v>
      </c>
    </row>
    <row r="354" spans="2:9" x14ac:dyDescent="0.25">
      <c r="B354" s="2" t="s">
        <v>180</v>
      </c>
      <c r="C354" s="3">
        <v>13</v>
      </c>
      <c r="D354" s="2" t="s">
        <v>864</v>
      </c>
      <c r="E354" s="3">
        <v>2018</v>
      </c>
      <c r="F354" s="3">
        <v>9</v>
      </c>
      <c r="G354" s="3" t="s">
        <v>864</v>
      </c>
      <c r="H354" s="19">
        <v>2018</v>
      </c>
      <c r="I354" s="2" t="s">
        <v>2</v>
      </c>
    </row>
    <row r="355" spans="2:9" x14ac:dyDescent="0.25">
      <c r="B355" s="2" t="s">
        <v>181</v>
      </c>
      <c r="C355" s="3">
        <v>13</v>
      </c>
      <c r="D355" s="2" t="s">
        <v>864</v>
      </c>
      <c r="E355" s="3">
        <v>2018</v>
      </c>
      <c r="F355" s="3">
        <v>16</v>
      </c>
      <c r="G355" s="3" t="s">
        <v>867</v>
      </c>
      <c r="H355" s="19">
        <v>2018</v>
      </c>
      <c r="I355" s="2" t="s">
        <v>2</v>
      </c>
    </row>
    <row r="356" spans="2:9" x14ac:dyDescent="0.25">
      <c r="B356" s="2" t="s">
        <v>182</v>
      </c>
      <c r="C356" s="3">
        <v>13</v>
      </c>
      <c r="D356" s="2" t="s">
        <v>864</v>
      </c>
      <c r="E356" s="3">
        <v>2018</v>
      </c>
      <c r="F356" s="3">
        <v>24</v>
      </c>
      <c r="G356" s="3" t="s">
        <v>868</v>
      </c>
      <c r="H356" s="19">
        <v>2018</v>
      </c>
      <c r="I356" s="2" t="s">
        <v>3</v>
      </c>
    </row>
    <row r="357" spans="2:9" x14ac:dyDescent="0.25">
      <c r="B357" s="2" t="s">
        <v>183</v>
      </c>
      <c r="C357" s="3">
        <v>16</v>
      </c>
      <c r="D357" s="2" t="s">
        <v>864</v>
      </c>
      <c r="E357" s="3">
        <v>2018</v>
      </c>
      <c r="F357" s="3">
        <v>5</v>
      </c>
      <c r="G357" s="3" t="s">
        <v>865</v>
      </c>
      <c r="H357" s="19">
        <v>2018</v>
      </c>
      <c r="I357" s="2" t="s">
        <v>3</v>
      </c>
    </row>
    <row r="358" spans="2:9" x14ac:dyDescent="0.25">
      <c r="B358" s="2" t="s">
        <v>184</v>
      </c>
      <c r="C358" s="3">
        <v>16</v>
      </c>
      <c r="D358" s="2" t="s">
        <v>864</v>
      </c>
      <c r="E358" s="3">
        <v>2018</v>
      </c>
      <c r="F358" s="3">
        <v>21</v>
      </c>
      <c r="G358" s="3" t="s">
        <v>865</v>
      </c>
      <c r="H358" s="19">
        <v>2018</v>
      </c>
      <c r="I358" s="2" t="s">
        <v>3</v>
      </c>
    </row>
    <row r="359" spans="2:9" x14ac:dyDescent="0.25">
      <c r="B359" s="2" t="s">
        <v>185</v>
      </c>
      <c r="C359" s="3">
        <v>16</v>
      </c>
      <c r="D359" s="2" t="s">
        <v>864</v>
      </c>
      <c r="E359" s="3">
        <v>2018</v>
      </c>
      <c r="F359" s="3">
        <v>5</v>
      </c>
      <c r="G359" s="3" t="s">
        <v>865</v>
      </c>
      <c r="H359" s="19">
        <v>2018</v>
      </c>
      <c r="I359" s="2" t="s">
        <v>2</v>
      </c>
    </row>
    <row r="360" spans="2:9" x14ac:dyDescent="0.25">
      <c r="B360" s="2" t="s">
        <v>186</v>
      </c>
      <c r="C360" s="3">
        <v>16</v>
      </c>
      <c r="D360" s="2" t="s">
        <v>864</v>
      </c>
      <c r="E360" s="3">
        <v>2018</v>
      </c>
      <c r="F360" s="3">
        <v>14</v>
      </c>
      <c r="G360" s="3" t="s">
        <v>864</v>
      </c>
      <c r="H360" s="19">
        <v>2018</v>
      </c>
      <c r="I360" s="2" t="s">
        <v>3</v>
      </c>
    </row>
    <row r="361" spans="2:9" x14ac:dyDescent="0.25">
      <c r="B361" s="2" t="s">
        <v>187</v>
      </c>
      <c r="C361" s="3">
        <v>20</v>
      </c>
      <c r="D361" s="2" t="s">
        <v>864</v>
      </c>
      <c r="E361" s="3">
        <v>2018</v>
      </c>
      <c r="F361" s="3">
        <v>13</v>
      </c>
      <c r="G361" s="3" t="s">
        <v>868</v>
      </c>
      <c r="H361" s="19">
        <v>2018</v>
      </c>
      <c r="I361" s="2" t="s">
        <v>3</v>
      </c>
    </row>
    <row r="362" spans="2:9" x14ac:dyDescent="0.25">
      <c r="B362" s="2" t="s">
        <v>188</v>
      </c>
      <c r="C362" s="3">
        <v>20</v>
      </c>
      <c r="D362" s="2" t="s">
        <v>864</v>
      </c>
      <c r="E362" s="3">
        <v>2018</v>
      </c>
      <c r="F362" s="3">
        <v>8</v>
      </c>
      <c r="G362" s="3" t="s">
        <v>868</v>
      </c>
      <c r="H362" s="19">
        <v>2018</v>
      </c>
      <c r="I362" s="2" t="s">
        <v>3</v>
      </c>
    </row>
    <row r="363" spans="2:9" x14ac:dyDescent="0.25">
      <c r="B363" s="2" t="s">
        <v>189</v>
      </c>
      <c r="C363" s="3">
        <v>20</v>
      </c>
      <c r="D363" s="2" t="s">
        <v>864</v>
      </c>
      <c r="E363" s="3">
        <v>2018</v>
      </c>
      <c r="F363" s="3">
        <v>11</v>
      </c>
      <c r="G363" s="3" t="s">
        <v>864</v>
      </c>
      <c r="H363" s="19">
        <v>2017</v>
      </c>
      <c r="I363" s="2" t="s">
        <v>2</v>
      </c>
    </row>
    <row r="364" spans="2:9" x14ac:dyDescent="0.25">
      <c r="B364" s="2" t="s">
        <v>190</v>
      </c>
      <c r="C364" s="3">
        <v>20</v>
      </c>
      <c r="D364" s="2" t="s">
        <v>864</v>
      </c>
      <c r="E364" s="3">
        <v>2018</v>
      </c>
      <c r="F364" s="3">
        <v>16</v>
      </c>
      <c r="G364" s="3" t="s">
        <v>866</v>
      </c>
      <c r="H364" s="19">
        <v>2018</v>
      </c>
      <c r="I364" s="2" t="s">
        <v>2</v>
      </c>
    </row>
    <row r="365" spans="2:9" x14ac:dyDescent="0.25">
      <c r="B365" s="2" t="s">
        <v>191</v>
      </c>
      <c r="C365" s="3">
        <v>20</v>
      </c>
      <c r="D365" s="2" t="s">
        <v>864</v>
      </c>
      <c r="E365" s="3">
        <v>2018</v>
      </c>
      <c r="F365" s="3">
        <v>22</v>
      </c>
      <c r="G365" s="3" t="s">
        <v>857</v>
      </c>
      <c r="H365" s="19">
        <v>2017</v>
      </c>
      <c r="I365" s="2" t="s">
        <v>2</v>
      </c>
    </row>
    <row r="366" spans="2:9" x14ac:dyDescent="0.25">
      <c r="B366" s="2" t="s">
        <v>192</v>
      </c>
      <c r="C366" s="3">
        <v>23</v>
      </c>
      <c r="D366" s="2" t="s">
        <v>864</v>
      </c>
      <c r="E366" s="3">
        <v>2018</v>
      </c>
      <c r="F366" s="3">
        <v>6</v>
      </c>
      <c r="G366" s="3" t="s">
        <v>858</v>
      </c>
      <c r="H366" s="19">
        <v>1938</v>
      </c>
      <c r="I366" s="2" t="s">
        <v>2</v>
      </c>
    </row>
    <row r="367" spans="2:9" x14ac:dyDescent="0.25">
      <c r="B367" s="2" t="s">
        <v>193</v>
      </c>
      <c r="C367" s="3">
        <v>23</v>
      </c>
      <c r="D367" s="2" t="s">
        <v>864</v>
      </c>
      <c r="E367" s="3">
        <v>2018</v>
      </c>
      <c r="F367" s="3">
        <v>19</v>
      </c>
      <c r="G367" s="3" t="s">
        <v>864</v>
      </c>
      <c r="H367" s="19">
        <v>2018</v>
      </c>
      <c r="I367" s="2" t="s">
        <v>3</v>
      </c>
    </row>
    <row r="368" spans="2:9" x14ac:dyDescent="0.25">
      <c r="B368" s="2" t="s">
        <v>194</v>
      </c>
      <c r="C368" s="3">
        <v>23</v>
      </c>
      <c r="D368" s="2" t="s">
        <v>864</v>
      </c>
      <c r="E368" s="3">
        <v>2018</v>
      </c>
      <c r="F368" s="3">
        <v>19</v>
      </c>
      <c r="G368" s="3" t="s">
        <v>865</v>
      </c>
      <c r="H368" s="19">
        <v>2018</v>
      </c>
      <c r="I368" s="2" t="s">
        <v>3</v>
      </c>
    </row>
    <row r="369" spans="2:9" x14ac:dyDescent="0.25">
      <c r="B369" s="2" t="s">
        <v>195</v>
      </c>
      <c r="C369" s="3">
        <v>23</v>
      </c>
      <c r="D369" s="2" t="s">
        <v>864</v>
      </c>
      <c r="E369" s="3">
        <v>2018</v>
      </c>
      <c r="F369" s="3">
        <v>25</v>
      </c>
      <c r="G369" s="3" t="s">
        <v>868</v>
      </c>
      <c r="H369" s="19">
        <v>2018</v>
      </c>
      <c r="I369" s="2" t="s">
        <v>3</v>
      </c>
    </row>
    <row r="370" spans="2:9" x14ac:dyDescent="0.25">
      <c r="B370" s="2" t="s">
        <v>196</v>
      </c>
      <c r="C370" s="3">
        <v>23</v>
      </c>
      <c r="D370" s="2" t="s">
        <v>864</v>
      </c>
      <c r="E370" s="3">
        <v>2018</v>
      </c>
      <c r="F370" s="3">
        <v>15</v>
      </c>
      <c r="G370" s="3" t="s">
        <v>869</v>
      </c>
      <c r="H370" s="19">
        <v>2017</v>
      </c>
      <c r="I370" s="2" t="s">
        <v>2</v>
      </c>
    </row>
    <row r="371" spans="2:9" x14ac:dyDescent="0.25">
      <c r="B371" s="2" t="s">
        <v>197</v>
      </c>
      <c r="C371" s="3">
        <v>23</v>
      </c>
      <c r="D371" s="2" t="s">
        <v>864</v>
      </c>
      <c r="E371" s="3">
        <v>2018</v>
      </c>
      <c r="F371" s="3">
        <v>21</v>
      </c>
      <c r="G371" s="3" t="s">
        <v>868</v>
      </c>
      <c r="H371" s="19">
        <v>2018</v>
      </c>
      <c r="I371" s="2" t="s">
        <v>2</v>
      </c>
    </row>
    <row r="372" spans="2:9" x14ac:dyDescent="0.25">
      <c r="B372" s="2" t="s">
        <v>198</v>
      </c>
      <c r="C372" s="3">
        <v>23</v>
      </c>
      <c r="D372" s="2" t="s">
        <v>864</v>
      </c>
      <c r="E372" s="3">
        <v>2018</v>
      </c>
      <c r="F372" s="3">
        <v>2</v>
      </c>
      <c r="G372" s="3" t="s">
        <v>864</v>
      </c>
      <c r="H372" s="19">
        <v>2018</v>
      </c>
      <c r="I372" s="2" t="s">
        <v>3</v>
      </c>
    </row>
    <row r="373" spans="2:9" x14ac:dyDescent="0.25">
      <c r="B373" s="2" t="s">
        <v>199</v>
      </c>
      <c r="C373" s="3">
        <v>24</v>
      </c>
      <c r="D373" s="2" t="s">
        <v>864</v>
      </c>
      <c r="E373" s="3">
        <v>2018</v>
      </c>
      <c r="F373" s="3">
        <v>17</v>
      </c>
      <c r="G373" s="3" t="s">
        <v>868</v>
      </c>
      <c r="H373" s="19">
        <v>2018</v>
      </c>
      <c r="I373" s="2" t="s">
        <v>3</v>
      </c>
    </row>
    <row r="374" spans="2:9" x14ac:dyDescent="0.25">
      <c r="B374" s="2" t="s">
        <v>200</v>
      </c>
      <c r="C374" s="3">
        <v>24</v>
      </c>
      <c r="D374" s="2" t="s">
        <v>864</v>
      </c>
      <c r="E374" s="3">
        <v>2018</v>
      </c>
      <c r="F374" s="3">
        <v>25</v>
      </c>
      <c r="G374" s="3" t="s">
        <v>866</v>
      </c>
      <c r="H374" s="19">
        <v>2018</v>
      </c>
      <c r="I374" s="2" t="s">
        <v>3</v>
      </c>
    </row>
    <row r="375" spans="2:9" x14ac:dyDescent="0.25">
      <c r="B375" s="2" t="s">
        <v>201</v>
      </c>
      <c r="C375" s="3">
        <v>24</v>
      </c>
      <c r="D375" s="2" t="s">
        <v>864</v>
      </c>
      <c r="E375" s="3">
        <v>2018</v>
      </c>
      <c r="F375" s="3">
        <v>11</v>
      </c>
      <c r="G375" s="3" t="s">
        <v>864</v>
      </c>
      <c r="H375" s="19">
        <v>2018</v>
      </c>
      <c r="I375" s="2" t="s">
        <v>3</v>
      </c>
    </row>
    <row r="376" spans="2:9" x14ac:dyDescent="0.25">
      <c r="B376" s="2" t="s">
        <v>202</v>
      </c>
      <c r="C376" s="3">
        <v>24</v>
      </c>
      <c r="D376" s="2" t="s">
        <v>864</v>
      </c>
      <c r="E376" s="3">
        <v>2018</v>
      </c>
      <c r="F376" s="3">
        <v>9</v>
      </c>
      <c r="G376" s="3" t="s">
        <v>864</v>
      </c>
      <c r="H376" s="19">
        <v>2018</v>
      </c>
      <c r="I376" s="2" t="s">
        <v>2</v>
      </c>
    </row>
    <row r="377" spans="2:9" x14ac:dyDescent="0.25">
      <c r="B377" s="2" t="s">
        <v>203</v>
      </c>
      <c r="C377" s="3">
        <v>24</v>
      </c>
      <c r="D377" s="2" t="s">
        <v>864</v>
      </c>
      <c r="E377" s="3">
        <v>2018</v>
      </c>
      <c r="F377" s="3">
        <v>20</v>
      </c>
      <c r="G377" s="3" t="s">
        <v>868</v>
      </c>
      <c r="H377" s="19">
        <v>2018</v>
      </c>
      <c r="I377" s="2" t="s">
        <v>2</v>
      </c>
    </row>
    <row r="378" spans="2:9" x14ac:dyDescent="0.25">
      <c r="B378" s="2" t="s">
        <v>204</v>
      </c>
      <c r="C378" s="3">
        <v>24</v>
      </c>
      <c r="D378" s="2" t="s">
        <v>864</v>
      </c>
      <c r="E378" s="3">
        <v>2018</v>
      </c>
      <c r="F378" s="3">
        <v>16</v>
      </c>
      <c r="G378" s="3" t="s">
        <v>868</v>
      </c>
      <c r="H378" s="19">
        <v>2018</v>
      </c>
      <c r="I378" s="2" t="s">
        <v>2</v>
      </c>
    </row>
    <row r="379" spans="2:9" x14ac:dyDescent="0.25">
      <c r="B379" s="2" t="s">
        <v>205</v>
      </c>
      <c r="C379" s="3">
        <v>24</v>
      </c>
      <c r="D379" s="2" t="s">
        <v>864</v>
      </c>
      <c r="E379" s="3">
        <v>2018</v>
      </c>
      <c r="F379" s="3">
        <v>9</v>
      </c>
      <c r="G379" s="3" t="s">
        <v>868</v>
      </c>
      <c r="H379" s="19">
        <v>2018</v>
      </c>
      <c r="I379" s="2" t="s">
        <v>2</v>
      </c>
    </row>
    <row r="380" spans="2:9" x14ac:dyDescent="0.25">
      <c r="B380" s="2" t="s">
        <v>206</v>
      </c>
      <c r="C380" s="3">
        <v>25</v>
      </c>
      <c r="D380" s="2" t="s">
        <v>864</v>
      </c>
      <c r="E380" s="3">
        <v>2018</v>
      </c>
      <c r="F380" s="3">
        <v>29</v>
      </c>
      <c r="G380" s="3" t="s">
        <v>865</v>
      </c>
      <c r="H380" s="19">
        <v>2018</v>
      </c>
      <c r="I380" s="2" t="s">
        <v>3</v>
      </c>
    </row>
    <row r="381" spans="2:9" x14ac:dyDescent="0.25">
      <c r="B381" s="2" t="s">
        <v>207</v>
      </c>
      <c r="C381" s="3">
        <v>25</v>
      </c>
      <c r="D381" s="2" t="s">
        <v>864</v>
      </c>
      <c r="E381" s="3">
        <v>2018</v>
      </c>
      <c r="F381" s="3">
        <v>11</v>
      </c>
      <c r="G381" s="3" t="s">
        <v>870</v>
      </c>
      <c r="H381" s="19">
        <v>2017</v>
      </c>
      <c r="I381" s="2" t="s">
        <v>2</v>
      </c>
    </row>
    <row r="382" spans="2:9" x14ac:dyDescent="0.25">
      <c r="B382" s="2" t="s">
        <v>208</v>
      </c>
      <c r="C382" s="3">
        <v>26</v>
      </c>
      <c r="D382" s="2" t="s">
        <v>864</v>
      </c>
      <c r="E382" s="3">
        <v>2018</v>
      </c>
      <c r="F382" s="3">
        <v>12</v>
      </c>
      <c r="G382" s="3" t="s">
        <v>868</v>
      </c>
      <c r="H382" s="19">
        <v>2018</v>
      </c>
      <c r="I382" s="2" t="s">
        <v>2</v>
      </c>
    </row>
    <row r="383" spans="2:9" x14ac:dyDescent="0.25">
      <c r="B383" s="2" t="s">
        <v>209</v>
      </c>
      <c r="C383" s="3">
        <v>26</v>
      </c>
      <c r="D383" s="2" t="s">
        <v>864</v>
      </c>
      <c r="E383" s="3">
        <v>2018</v>
      </c>
      <c r="F383" s="3">
        <v>4</v>
      </c>
      <c r="G383" s="3" t="s">
        <v>864</v>
      </c>
      <c r="H383" s="19">
        <v>2018</v>
      </c>
      <c r="I383" s="2" t="s">
        <v>2</v>
      </c>
    </row>
    <row r="384" spans="2:9" x14ac:dyDescent="0.25">
      <c r="B384" s="2" t="s">
        <v>210</v>
      </c>
      <c r="C384" s="3">
        <v>26</v>
      </c>
      <c r="D384" s="2" t="s">
        <v>864</v>
      </c>
      <c r="E384" s="3">
        <v>2018</v>
      </c>
      <c r="F384" s="3">
        <v>21</v>
      </c>
      <c r="G384" s="3" t="s">
        <v>868</v>
      </c>
      <c r="H384" s="19">
        <v>2018</v>
      </c>
      <c r="I384" s="2" t="s">
        <v>2</v>
      </c>
    </row>
    <row r="385" spans="2:9" x14ac:dyDescent="0.25">
      <c r="B385" s="2" t="s">
        <v>211</v>
      </c>
      <c r="C385" s="3">
        <v>26</v>
      </c>
      <c r="D385" s="2" t="s">
        <v>864</v>
      </c>
      <c r="E385" s="3">
        <v>2018</v>
      </c>
      <c r="F385" s="3">
        <v>18</v>
      </c>
      <c r="G385" s="3" t="s">
        <v>868</v>
      </c>
      <c r="H385" s="19">
        <v>2018</v>
      </c>
      <c r="I385" s="2" t="s">
        <v>3</v>
      </c>
    </row>
    <row r="386" spans="2:9" x14ac:dyDescent="0.25">
      <c r="B386" s="2" t="s">
        <v>212</v>
      </c>
      <c r="C386" s="3">
        <v>27</v>
      </c>
      <c r="D386" s="2" t="s">
        <v>864</v>
      </c>
      <c r="E386" s="3">
        <v>2018</v>
      </c>
      <c r="F386" s="3">
        <v>2</v>
      </c>
      <c r="G386" s="3" t="s">
        <v>864</v>
      </c>
      <c r="H386" s="19">
        <v>2018</v>
      </c>
      <c r="I386" s="2" t="s">
        <v>2</v>
      </c>
    </row>
    <row r="387" spans="2:9" x14ac:dyDescent="0.25">
      <c r="B387" s="2" t="s">
        <v>213</v>
      </c>
      <c r="C387" s="3">
        <v>27</v>
      </c>
      <c r="D387" s="2" t="s">
        <v>864</v>
      </c>
      <c r="E387" s="3">
        <v>2018</v>
      </c>
      <c r="F387" s="3">
        <v>18</v>
      </c>
      <c r="G387" s="3" t="s">
        <v>868</v>
      </c>
      <c r="H387" s="19">
        <v>2018</v>
      </c>
      <c r="I387" s="2" t="s">
        <v>2</v>
      </c>
    </row>
    <row r="388" spans="2:9" x14ac:dyDescent="0.25">
      <c r="B388" s="2" t="s">
        <v>214</v>
      </c>
      <c r="C388" s="3">
        <v>27</v>
      </c>
      <c r="D388" s="2" t="s">
        <v>864</v>
      </c>
      <c r="E388" s="3">
        <v>2018</v>
      </c>
      <c r="F388" s="3">
        <v>22</v>
      </c>
      <c r="G388" s="3" t="s">
        <v>864</v>
      </c>
      <c r="H388" s="19">
        <v>2018</v>
      </c>
      <c r="I388" s="2" t="s">
        <v>3</v>
      </c>
    </row>
    <row r="389" spans="2:9" x14ac:dyDescent="0.25">
      <c r="B389" s="2" t="s">
        <v>215</v>
      </c>
      <c r="C389" s="3">
        <v>27</v>
      </c>
      <c r="D389" s="2" t="s">
        <v>864</v>
      </c>
      <c r="E389" s="3">
        <v>2018</v>
      </c>
      <c r="F389" s="3">
        <v>20</v>
      </c>
      <c r="G389" s="3" t="s">
        <v>864</v>
      </c>
      <c r="H389" s="19">
        <v>2018</v>
      </c>
      <c r="I389" s="2" t="s">
        <v>3</v>
      </c>
    </row>
    <row r="390" spans="2:9" x14ac:dyDescent="0.25">
      <c r="B390" s="2" t="s">
        <v>216</v>
      </c>
      <c r="C390" s="3">
        <v>27</v>
      </c>
      <c r="D390" s="2" t="s">
        <v>864</v>
      </c>
      <c r="E390" s="3">
        <v>2018</v>
      </c>
      <c r="F390" s="3">
        <v>2</v>
      </c>
      <c r="G390" s="3" t="s">
        <v>864</v>
      </c>
      <c r="H390" s="19">
        <v>2018</v>
      </c>
      <c r="I390" s="2" t="s">
        <v>2</v>
      </c>
    </row>
    <row r="391" spans="2:9" x14ac:dyDescent="0.25">
      <c r="B391" s="2" t="s">
        <v>217</v>
      </c>
      <c r="C391" s="3">
        <v>30</v>
      </c>
      <c r="D391" s="2" t="s">
        <v>864</v>
      </c>
      <c r="E391" s="3">
        <v>2018</v>
      </c>
      <c r="F391" s="3">
        <v>3</v>
      </c>
      <c r="G391" s="3" t="s">
        <v>866</v>
      </c>
      <c r="H391" s="19">
        <v>2018</v>
      </c>
      <c r="I391" s="2" t="s">
        <v>2</v>
      </c>
    </row>
    <row r="392" spans="2:9" x14ac:dyDescent="0.25">
      <c r="B392" s="2" t="s">
        <v>218</v>
      </c>
      <c r="C392" s="3">
        <v>30</v>
      </c>
      <c r="D392" s="2" t="s">
        <v>864</v>
      </c>
      <c r="E392" s="3">
        <v>2018</v>
      </c>
      <c r="F392" s="3">
        <v>21</v>
      </c>
      <c r="G392" s="3" t="s">
        <v>868</v>
      </c>
      <c r="H392" s="19">
        <v>2018</v>
      </c>
      <c r="I392" s="2" t="s">
        <v>2</v>
      </c>
    </row>
    <row r="393" spans="2:9" x14ac:dyDescent="0.25">
      <c r="B393" s="2" t="s">
        <v>219</v>
      </c>
      <c r="C393" s="3">
        <v>30</v>
      </c>
      <c r="D393" s="2" t="s">
        <v>864</v>
      </c>
      <c r="E393" s="3">
        <v>2018</v>
      </c>
      <c r="F393" s="3">
        <v>12</v>
      </c>
      <c r="G393" s="3" t="s">
        <v>864</v>
      </c>
      <c r="H393" s="19">
        <v>2018</v>
      </c>
      <c r="I393" s="2" t="s">
        <v>3</v>
      </c>
    </row>
    <row r="394" spans="2:9" x14ac:dyDescent="0.25">
      <c r="B394" s="2" t="s">
        <v>220</v>
      </c>
      <c r="C394" s="3">
        <v>31</v>
      </c>
      <c r="D394" s="2" t="s">
        <v>864</v>
      </c>
      <c r="E394" s="3">
        <v>2018</v>
      </c>
      <c r="F394" s="3">
        <v>7</v>
      </c>
      <c r="G394" s="3" t="s">
        <v>858</v>
      </c>
      <c r="H394" s="20">
        <v>1931</v>
      </c>
      <c r="I394" s="2" t="s">
        <v>3</v>
      </c>
    </row>
    <row r="395" spans="2:9" x14ac:dyDescent="0.25">
      <c r="B395" s="2" t="s">
        <v>221</v>
      </c>
      <c r="C395" s="3">
        <v>1</v>
      </c>
      <c r="D395" s="7" t="s">
        <v>869</v>
      </c>
      <c r="E395" s="3">
        <v>2018</v>
      </c>
      <c r="F395" s="3">
        <v>18</v>
      </c>
      <c r="G395" s="3" t="s">
        <v>866</v>
      </c>
      <c r="H395" s="20">
        <v>2018</v>
      </c>
      <c r="I395" s="7" t="s">
        <v>2</v>
      </c>
    </row>
    <row r="396" spans="2:9" x14ac:dyDescent="0.25">
      <c r="B396" s="2" t="s">
        <v>222</v>
      </c>
      <c r="C396" s="3">
        <v>1</v>
      </c>
      <c r="D396" s="2" t="s">
        <v>869</v>
      </c>
      <c r="E396" s="3">
        <v>2018</v>
      </c>
      <c r="F396" s="3">
        <v>14</v>
      </c>
      <c r="G396" s="3" t="s">
        <v>868</v>
      </c>
      <c r="H396" s="19">
        <v>2018</v>
      </c>
      <c r="I396" s="2" t="s">
        <v>2</v>
      </c>
    </row>
    <row r="397" spans="2:9" x14ac:dyDescent="0.25">
      <c r="B397" s="2" t="s">
        <v>223</v>
      </c>
      <c r="C397" s="3">
        <v>2</v>
      </c>
      <c r="D397" s="2" t="s">
        <v>869</v>
      </c>
      <c r="E397" s="3">
        <v>2018</v>
      </c>
      <c r="F397" s="3">
        <v>23</v>
      </c>
      <c r="G397" s="3" t="s">
        <v>868</v>
      </c>
      <c r="H397" s="19">
        <v>2018</v>
      </c>
      <c r="I397" s="2" t="s">
        <v>3</v>
      </c>
    </row>
    <row r="398" spans="2:9" x14ac:dyDescent="0.25">
      <c r="B398" s="2" t="s">
        <v>224</v>
      </c>
      <c r="C398" s="3">
        <v>3</v>
      </c>
      <c r="D398" s="2" t="s">
        <v>869</v>
      </c>
      <c r="E398" s="3">
        <v>2018</v>
      </c>
      <c r="F398" s="3">
        <v>12</v>
      </c>
      <c r="G398" s="3" t="s">
        <v>868</v>
      </c>
      <c r="H398" s="19">
        <v>2018</v>
      </c>
      <c r="I398" s="2" t="s">
        <v>3</v>
      </c>
    </row>
    <row r="399" spans="2:9" x14ac:dyDescent="0.25">
      <c r="B399" s="2" t="s">
        <v>225</v>
      </c>
      <c r="C399" s="3">
        <v>7</v>
      </c>
      <c r="D399" s="2" t="s">
        <v>869</v>
      </c>
      <c r="E399" s="3">
        <v>2018</v>
      </c>
      <c r="F399" s="3">
        <v>13</v>
      </c>
      <c r="G399" s="3" t="s">
        <v>864</v>
      </c>
      <c r="H399" s="19">
        <v>2005</v>
      </c>
      <c r="I399" s="2" t="s">
        <v>3</v>
      </c>
    </row>
    <row r="400" spans="2:9" x14ac:dyDescent="0.25">
      <c r="B400" s="2" t="s">
        <v>226</v>
      </c>
      <c r="C400" s="3">
        <v>7</v>
      </c>
      <c r="D400" s="2" t="s">
        <v>869</v>
      </c>
      <c r="E400" s="3">
        <v>2018</v>
      </c>
      <c r="F400" s="3">
        <v>22</v>
      </c>
      <c r="G400" s="3" t="s">
        <v>863</v>
      </c>
      <c r="H400" s="19">
        <v>2010</v>
      </c>
      <c r="I400" s="2" t="s">
        <v>3</v>
      </c>
    </row>
    <row r="401" spans="2:9" x14ac:dyDescent="0.25">
      <c r="B401" s="2" t="s">
        <v>227</v>
      </c>
      <c r="C401" s="3">
        <v>10</v>
      </c>
      <c r="D401" s="2" t="s">
        <v>869</v>
      </c>
      <c r="E401" s="3">
        <v>2018</v>
      </c>
      <c r="F401" s="3">
        <v>1</v>
      </c>
      <c r="G401" s="3" t="s">
        <v>869</v>
      </c>
      <c r="H401" s="19">
        <v>2018</v>
      </c>
      <c r="I401" s="2" t="s">
        <v>3</v>
      </c>
    </row>
    <row r="402" spans="2:9" x14ac:dyDescent="0.25">
      <c r="B402" s="2" t="s">
        <v>228</v>
      </c>
      <c r="C402" s="3">
        <v>10</v>
      </c>
      <c r="D402" s="2" t="s">
        <v>869</v>
      </c>
      <c r="E402" s="3">
        <v>2018</v>
      </c>
      <c r="F402" s="3">
        <v>14</v>
      </c>
      <c r="G402" s="3" t="s">
        <v>866</v>
      </c>
      <c r="H402" s="19">
        <v>2018</v>
      </c>
      <c r="I402" s="2" t="s">
        <v>2</v>
      </c>
    </row>
    <row r="403" spans="2:9" x14ac:dyDescent="0.25">
      <c r="B403" s="2" t="s">
        <v>229</v>
      </c>
      <c r="C403" s="3">
        <v>14</v>
      </c>
      <c r="D403" s="2" t="s">
        <v>869</v>
      </c>
      <c r="E403" s="3">
        <v>2018</v>
      </c>
      <c r="F403" s="3">
        <v>23</v>
      </c>
      <c r="G403" s="3" t="s">
        <v>866</v>
      </c>
      <c r="H403" s="19">
        <v>2018</v>
      </c>
      <c r="I403" s="2" t="s">
        <v>3</v>
      </c>
    </row>
    <row r="404" spans="2:9" x14ac:dyDescent="0.25">
      <c r="B404" s="2" t="s">
        <v>230</v>
      </c>
      <c r="C404" s="3">
        <v>14</v>
      </c>
      <c r="D404" s="2" t="s">
        <v>869</v>
      </c>
      <c r="E404" s="3">
        <v>2018</v>
      </c>
      <c r="F404" s="3">
        <v>20</v>
      </c>
      <c r="G404" s="3" t="s">
        <v>869</v>
      </c>
      <c r="H404" s="19">
        <v>2012</v>
      </c>
      <c r="I404" s="2" t="s">
        <v>2</v>
      </c>
    </row>
    <row r="405" spans="2:9" x14ac:dyDescent="0.25">
      <c r="B405" s="2" t="s">
        <v>231</v>
      </c>
      <c r="C405" s="3">
        <v>14</v>
      </c>
      <c r="D405" s="2" t="s">
        <v>869</v>
      </c>
      <c r="E405" s="3">
        <v>2018</v>
      </c>
      <c r="F405" s="3">
        <v>10</v>
      </c>
      <c r="G405" s="3" t="s">
        <v>867</v>
      </c>
      <c r="H405" s="19">
        <v>2015</v>
      </c>
      <c r="I405" s="2" t="s">
        <v>3</v>
      </c>
    </row>
    <row r="406" spans="2:9" x14ac:dyDescent="0.25">
      <c r="B406" s="2" t="s">
        <v>232</v>
      </c>
      <c r="C406" s="3">
        <v>14</v>
      </c>
      <c r="D406" s="2" t="s">
        <v>869</v>
      </c>
      <c r="E406" s="3">
        <v>2018</v>
      </c>
      <c r="F406" s="3">
        <v>23</v>
      </c>
      <c r="G406" s="3" t="s">
        <v>864</v>
      </c>
      <c r="H406" s="19">
        <v>2018</v>
      </c>
      <c r="I406" s="2" t="s">
        <v>2</v>
      </c>
    </row>
    <row r="407" spans="2:9" x14ac:dyDescent="0.25">
      <c r="B407" s="2" t="s">
        <v>233</v>
      </c>
      <c r="C407" s="3">
        <v>14</v>
      </c>
      <c r="D407" s="2" t="s">
        <v>869</v>
      </c>
      <c r="E407" s="3">
        <v>2018</v>
      </c>
      <c r="F407" s="3">
        <v>15</v>
      </c>
      <c r="G407" s="3" t="s">
        <v>868</v>
      </c>
      <c r="H407" s="19">
        <v>2018</v>
      </c>
      <c r="I407" s="2" t="s">
        <v>3</v>
      </c>
    </row>
    <row r="408" spans="2:9" x14ac:dyDescent="0.25">
      <c r="B408" s="2" t="s">
        <v>234</v>
      </c>
      <c r="C408" s="3">
        <v>15</v>
      </c>
      <c r="D408" s="2" t="s">
        <v>869</v>
      </c>
      <c r="E408" s="3">
        <v>2018</v>
      </c>
      <c r="F408" s="3">
        <v>18</v>
      </c>
      <c r="G408" s="3" t="s">
        <v>857</v>
      </c>
      <c r="H408" s="19">
        <v>2015</v>
      </c>
      <c r="I408" s="2" t="s">
        <v>3</v>
      </c>
    </row>
    <row r="409" spans="2:9" x14ac:dyDescent="0.25">
      <c r="B409" s="2" t="s">
        <v>235</v>
      </c>
      <c r="C409" s="3">
        <v>15</v>
      </c>
      <c r="D409" s="2" t="s">
        <v>869</v>
      </c>
      <c r="E409" s="3">
        <v>2018</v>
      </c>
      <c r="F409" s="3">
        <v>20</v>
      </c>
      <c r="G409" s="3" t="s">
        <v>865</v>
      </c>
      <c r="H409" s="19">
        <v>2018</v>
      </c>
      <c r="I409" s="2" t="s">
        <v>2</v>
      </c>
    </row>
    <row r="410" spans="2:9" x14ac:dyDescent="0.25">
      <c r="B410" s="2" t="s">
        <v>236</v>
      </c>
      <c r="C410" s="3">
        <v>15</v>
      </c>
      <c r="D410" s="2" t="s">
        <v>869</v>
      </c>
      <c r="E410" s="3">
        <v>2018</v>
      </c>
      <c r="F410" s="3">
        <v>27</v>
      </c>
      <c r="G410" s="3" t="s">
        <v>864</v>
      </c>
      <c r="H410" s="19">
        <v>2018</v>
      </c>
      <c r="I410" s="2" t="s">
        <v>3</v>
      </c>
    </row>
    <row r="411" spans="2:9" x14ac:dyDescent="0.25">
      <c r="B411" s="2" t="s">
        <v>237</v>
      </c>
      <c r="C411" s="3">
        <v>15</v>
      </c>
      <c r="D411" s="2" t="s">
        <v>869</v>
      </c>
      <c r="E411" s="3">
        <v>2018</v>
      </c>
      <c r="F411" s="3">
        <v>20</v>
      </c>
      <c r="G411" s="3" t="s">
        <v>864</v>
      </c>
      <c r="H411" s="19">
        <v>2018</v>
      </c>
      <c r="I411" s="2" t="s">
        <v>3</v>
      </c>
    </row>
    <row r="412" spans="2:9" x14ac:dyDescent="0.25">
      <c r="B412" s="2" t="s">
        <v>238</v>
      </c>
      <c r="C412" s="3">
        <v>22</v>
      </c>
      <c r="D412" s="2" t="s">
        <v>869</v>
      </c>
      <c r="E412" s="3">
        <v>2018</v>
      </c>
      <c r="F412" s="3">
        <v>25</v>
      </c>
      <c r="G412" s="3" t="s">
        <v>864</v>
      </c>
      <c r="H412" s="19">
        <v>2018</v>
      </c>
      <c r="I412" s="2" t="s">
        <v>2</v>
      </c>
    </row>
    <row r="413" spans="2:9" x14ac:dyDescent="0.25">
      <c r="B413" s="2" t="s">
        <v>239</v>
      </c>
      <c r="C413" s="3">
        <v>22</v>
      </c>
      <c r="D413" s="2" t="s">
        <v>869</v>
      </c>
      <c r="E413" s="3">
        <v>2018</v>
      </c>
      <c r="F413" s="3">
        <v>17</v>
      </c>
      <c r="G413" s="3" t="s">
        <v>864</v>
      </c>
      <c r="H413" s="19">
        <v>2018</v>
      </c>
      <c r="I413" s="2" t="s">
        <v>2</v>
      </c>
    </row>
    <row r="414" spans="2:9" x14ac:dyDescent="0.25">
      <c r="B414" s="2" t="s">
        <v>240</v>
      </c>
      <c r="C414" s="3">
        <v>23</v>
      </c>
      <c r="D414" s="2" t="s">
        <v>869</v>
      </c>
      <c r="E414" s="3">
        <v>2018</v>
      </c>
      <c r="F414" s="3">
        <v>18</v>
      </c>
      <c r="G414" s="3" t="s">
        <v>869</v>
      </c>
      <c r="H414" s="19">
        <v>2018</v>
      </c>
      <c r="I414" s="2" t="s">
        <v>3</v>
      </c>
    </row>
    <row r="415" spans="2:9" x14ac:dyDescent="0.25">
      <c r="B415" s="2" t="s">
        <v>241</v>
      </c>
      <c r="C415" s="3">
        <v>23</v>
      </c>
      <c r="D415" s="2" t="s">
        <v>869</v>
      </c>
      <c r="E415" s="3">
        <v>2018</v>
      </c>
      <c r="F415" s="3">
        <v>20</v>
      </c>
      <c r="G415" s="3" t="s">
        <v>869</v>
      </c>
      <c r="H415" s="19">
        <v>2018</v>
      </c>
      <c r="I415" s="2" t="s">
        <v>3</v>
      </c>
    </row>
    <row r="416" spans="2:9" x14ac:dyDescent="0.25">
      <c r="B416" s="2" t="s">
        <v>242</v>
      </c>
      <c r="C416" s="3">
        <v>23</v>
      </c>
      <c r="D416" s="2" t="s">
        <v>869</v>
      </c>
      <c r="E416" s="3">
        <v>2018</v>
      </c>
      <c r="F416" s="3">
        <v>18</v>
      </c>
      <c r="G416" s="3" t="s">
        <v>869</v>
      </c>
      <c r="H416" s="19">
        <v>2018</v>
      </c>
      <c r="I416" s="2" t="s">
        <v>3</v>
      </c>
    </row>
    <row r="417" spans="2:9" x14ac:dyDescent="0.25">
      <c r="B417" s="2" t="s">
        <v>243</v>
      </c>
      <c r="C417" s="3">
        <v>23</v>
      </c>
      <c r="D417" s="2" t="s">
        <v>869</v>
      </c>
      <c r="E417" s="3">
        <v>2018</v>
      </c>
      <c r="F417" s="3">
        <v>8</v>
      </c>
      <c r="G417" s="3" t="s">
        <v>863</v>
      </c>
      <c r="H417" s="19">
        <v>1949</v>
      </c>
      <c r="I417" s="2" t="s">
        <v>2</v>
      </c>
    </row>
    <row r="418" spans="2:9" x14ac:dyDescent="0.25">
      <c r="B418" s="2" t="s">
        <v>244</v>
      </c>
      <c r="C418" s="3">
        <v>24</v>
      </c>
      <c r="D418" s="2" t="s">
        <v>869</v>
      </c>
      <c r="E418" s="3">
        <v>2018</v>
      </c>
      <c r="F418" s="3">
        <v>14</v>
      </c>
      <c r="G418" s="3" t="s">
        <v>869</v>
      </c>
      <c r="H418" s="19">
        <v>2018</v>
      </c>
      <c r="I418" s="2" t="s">
        <v>2</v>
      </c>
    </row>
    <row r="419" spans="2:9" x14ac:dyDescent="0.25">
      <c r="B419" s="2" t="s">
        <v>245</v>
      </c>
      <c r="C419" s="3">
        <v>27</v>
      </c>
      <c r="D419" s="2" t="s">
        <v>869</v>
      </c>
      <c r="E419" s="3">
        <v>2018</v>
      </c>
      <c r="F419" s="3">
        <v>15</v>
      </c>
      <c r="G419" s="3" t="s">
        <v>863</v>
      </c>
      <c r="H419" s="19">
        <v>2016</v>
      </c>
      <c r="I419" s="2" t="s">
        <v>2</v>
      </c>
    </row>
    <row r="420" spans="2:9" x14ac:dyDescent="0.25">
      <c r="B420" s="2" t="s">
        <v>246</v>
      </c>
      <c r="C420" s="3">
        <v>27</v>
      </c>
      <c r="D420" s="2" t="s">
        <v>869</v>
      </c>
      <c r="E420" s="3">
        <v>2018</v>
      </c>
      <c r="F420" s="3">
        <v>17</v>
      </c>
      <c r="G420" s="3" t="s">
        <v>861</v>
      </c>
      <c r="H420" s="19">
        <v>2015</v>
      </c>
      <c r="I420" s="2" t="s">
        <v>2</v>
      </c>
    </row>
    <row r="421" spans="2:9" x14ac:dyDescent="0.25">
      <c r="B421" s="2" t="s">
        <v>247</v>
      </c>
      <c r="C421" s="3">
        <v>27</v>
      </c>
      <c r="D421" s="2" t="s">
        <v>869</v>
      </c>
      <c r="E421" s="3">
        <v>2018</v>
      </c>
      <c r="F421" s="3">
        <v>9</v>
      </c>
      <c r="G421" s="3" t="s">
        <v>864</v>
      </c>
      <c r="H421" s="19">
        <v>2018</v>
      </c>
      <c r="I421" s="2" t="s">
        <v>3</v>
      </c>
    </row>
    <row r="422" spans="2:9" x14ac:dyDescent="0.25">
      <c r="B422" s="2" t="s">
        <v>248</v>
      </c>
      <c r="C422" s="3">
        <v>27</v>
      </c>
      <c r="D422" s="2" t="s">
        <v>869</v>
      </c>
      <c r="E422" s="3">
        <v>2018</v>
      </c>
      <c r="F422" s="3">
        <v>30</v>
      </c>
      <c r="G422" s="3" t="s">
        <v>856</v>
      </c>
      <c r="H422" s="19">
        <v>2018</v>
      </c>
      <c r="I422" s="2" t="s">
        <v>2</v>
      </c>
    </row>
    <row r="423" spans="2:9" x14ac:dyDescent="0.25">
      <c r="B423" s="2" t="s">
        <v>249</v>
      </c>
      <c r="C423" s="3">
        <v>27</v>
      </c>
      <c r="D423" s="2" t="s">
        <v>869</v>
      </c>
      <c r="E423" s="3">
        <v>2018</v>
      </c>
      <c r="F423" s="3">
        <v>31</v>
      </c>
      <c r="G423" s="3" t="s">
        <v>866</v>
      </c>
      <c r="H423" s="19">
        <v>2018</v>
      </c>
      <c r="I423" s="2" t="s">
        <v>3</v>
      </c>
    </row>
    <row r="424" spans="2:9" x14ac:dyDescent="0.25">
      <c r="B424" s="2" t="s">
        <v>250</v>
      </c>
      <c r="C424" s="3">
        <v>28</v>
      </c>
      <c r="D424" s="2" t="s">
        <v>869</v>
      </c>
      <c r="E424" s="3">
        <v>2018</v>
      </c>
      <c r="F424" s="3">
        <v>29</v>
      </c>
      <c r="G424" s="3" t="s">
        <v>866</v>
      </c>
      <c r="H424" s="19">
        <v>2017</v>
      </c>
      <c r="I424" s="2" t="s">
        <v>2</v>
      </c>
    </row>
    <row r="425" spans="2:9" x14ac:dyDescent="0.25">
      <c r="B425" s="2" t="s">
        <v>251</v>
      </c>
      <c r="C425" s="3">
        <v>28</v>
      </c>
      <c r="D425" s="2" t="s">
        <v>869</v>
      </c>
      <c r="E425" s="3">
        <v>2018</v>
      </c>
      <c r="F425" s="3">
        <v>6</v>
      </c>
      <c r="G425" s="3" t="s">
        <v>866</v>
      </c>
      <c r="H425" s="19">
        <v>1974</v>
      </c>
      <c r="I425" s="2" t="s">
        <v>3</v>
      </c>
    </row>
    <row r="426" spans="2:9" x14ac:dyDescent="0.25">
      <c r="B426" s="2" t="s">
        <v>252</v>
      </c>
      <c r="C426" s="3">
        <v>28</v>
      </c>
      <c r="D426" s="2" t="s">
        <v>869</v>
      </c>
      <c r="E426" s="3">
        <v>2018</v>
      </c>
      <c r="F426" s="3">
        <v>28</v>
      </c>
      <c r="G426" s="3" t="s">
        <v>858</v>
      </c>
      <c r="H426" s="19">
        <v>2013</v>
      </c>
      <c r="I426" s="2" t="s">
        <v>2</v>
      </c>
    </row>
    <row r="427" spans="2:9" x14ac:dyDescent="0.25">
      <c r="B427" s="2" t="s">
        <v>253</v>
      </c>
      <c r="C427" s="3">
        <v>29</v>
      </c>
      <c r="D427" s="2" t="s">
        <v>869</v>
      </c>
      <c r="E427" s="3">
        <v>2018</v>
      </c>
      <c r="F427" s="3">
        <v>4</v>
      </c>
      <c r="G427" s="3" t="s">
        <v>869</v>
      </c>
      <c r="H427" s="19">
        <v>2018</v>
      </c>
      <c r="I427" s="2" t="s">
        <v>2</v>
      </c>
    </row>
    <row r="428" spans="2:9" x14ac:dyDescent="0.25">
      <c r="B428" s="2" t="s">
        <v>254</v>
      </c>
      <c r="C428" s="3">
        <v>30</v>
      </c>
      <c r="D428" s="2" t="s">
        <v>869</v>
      </c>
      <c r="E428" s="3">
        <v>2018</v>
      </c>
      <c r="F428" s="3">
        <v>11</v>
      </c>
      <c r="G428" s="3" t="s">
        <v>868</v>
      </c>
      <c r="H428" s="19">
        <v>2002</v>
      </c>
      <c r="I428" s="2" t="s">
        <v>2</v>
      </c>
    </row>
    <row r="429" spans="2:9" x14ac:dyDescent="0.25">
      <c r="B429" s="2" t="s">
        <v>255</v>
      </c>
      <c r="C429" s="3">
        <v>31</v>
      </c>
      <c r="D429" s="2" t="s">
        <v>869</v>
      </c>
      <c r="E429" s="3">
        <v>2018</v>
      </c>
      <c r="F429" s="3">
        <v>5</v>
      </c>
      <c r="G429" s="3" t="s">
        <v>864</v>
      </c>
      <c r="H429" s="19">
        <v>2018</v>
      </c>
      <c r="I429" s="2" t="s">
        <v>3</v>
      </c>
    </row>
    <row r="430" spans="2:9" x14ac:dyDescent="0.25">
      <c r="B430" s="2" t="s">
        <v>256</v>
      </c>
      <c r="C430" s="3">
        <v>31</v>
      </c>
      <c r="D430" s="2" t="s">
        <v>869</v>
      </c>
      <c r="E430" s="3">
        <v>2018</v>
      </c>
      <c r="F430" s="3">
        <v>16</v>
      </c>
      <c r="G430" s="3" t="s">
        <v>868</v>
      </c>
      <c r="H430" s="19">
        <v>2018</v>
      </c>
      <c r="I430" s="2" t="s">
        <v>3</v>
      </c>
    </row>
    <row r="431" spans="2:9" x14ac:dyDescent="0.25">
      <c r="B431" s="2" t="s">
        <v>257</v>
      </c>
      <c r="C431" s="3">
        <v>3</v>
      </c>
      <c r="D431" s="8" t="s">
        <v>863</v>
      </c>
      <c r="E431" s="3">
        <v>2018</v>
      </c>
      <c r="F431" s="3">
        <v>20</v>
      </c>
      <c r="G431" s="3" t="s">
        <v>868</v>
      </c>
      <c r="H431" s="19">
        <v>2018</v>
      </c>
      <c r="I431" s="7" t="s">
        <v>3</v>
      </c>
    </row>
    <row r="432" spans="2:9" x14ac:dyDescent="0.25">
      <c r="B432" s="2" t="s">
        <v>258</v>
      </c>
      <c r="C432" s="3">
        <v>3</v>
      </c>
      <c r="D432" s="1" t="s">
        <v>863</v>
      </c>
      <c r="E432" s="3">
        <v>2018</v>
      </c>
      <c r="F432" s="3">
        <v>28</v>
      </c>
      <c r="G432" s="3" t="s">
        <v>869</v>
      </c>
      <c r="H432" s="19">
        <v>2018</v>
      </c>
      <c r="I432" s="2" t="s">
        <v>2</v>
      </c>
    </row>
    <row r="433" spans="2:9" x14ac:dyDescent="0.25">
      <c r="B433" s="2" t="s">
        <v>259</v>
      </c>
      <c r="C433" s="3">
        <v>3</v>
      </c>
      <c r="D433" s="1" t="s">
        <v>863</v>
      </c>
      <c r="E433" s="3">
        <v>2018</v>
      </c>
      <c r="F433" s="3">
        <v>30</v>
      </c>
      <c r="G433" s="3" t="s">
        <v>869</v>
      </c>
      <c r="H433" s="19">
        <v>2018</v>
      </c>
      <c r="I433" s="2" t="s">
        <v>3</v>
      </c>
    </row>
    <row r="434" spans="2:9" x14ac:dyDescent="0.25">
      <c r="B434" s="2" t="s">
        <v>260</v>
      </c>
      <c r="C434" s="3">
        <v>3</v>
      </c>
      <c r="D434" s="1" t="s">
        <v>863</v>
      </c>
      <c r="E434" s="3">
        <v>2018</v>
      </c>
      <c r="F434" s="3">
        <v>26</v>
      </c>
      <c r="G434" s="3" t="s">
        <v>864</v>
      </c>
      <c r="H434" s="19">
        <v>2018</v>
      </c>
      <c r="I434" s="2" t="s">
        <v>3</v>
      </c>
    </row>
    <row r="435" spans="2:9" x14ac:dyDescent="0.25">
      <c r="B435" s="2" t="s">
        <v>261</v>
      </c>
      <c r="C435" s="3">
        <v>4</v>
      </c>
      <c r="D435" s="1" t="s">
        <v>863</v>
      </c>
      <c r="E435" s="3">
        <v>2018</v>
      </c>
      <c r="F435" s="3">
        <v>3</v>
      </c>
      <c r="G435" s="3" t="s">
        <v>867</v>
      </c>
      <c r="H435" s="19">
        <v>2018</v>
      </c>
      <c r="I435" s="2" t="s">
        <v>2</v>
      </c>
    </row>
    <row r="436" spans="2:9" x14ac:dyDescent="0.25">
      <c r="B436" s="2" t="s">
        <v>262</v>
      </c>
      <c r="C436" s="3">
        <v>4</v>
      </c>
      <c r="D436" s="1" t="s">
        <v>863</v>
      </c>
      <c r="E436" s="3">
        <v>2018</v>
      </c>
      <c r="F436" s="3">
        <v>7</v>
      </c>
      <c r="G436" s="3" t="s">
        <v>865</v>
      </c>
      <c r="H436" s="19">
        <v>2018</v>
      </c>
      <c r="I436" s="2" t="s">
        <v>2</v>
      </c>
    </row>
    <row r="437" spans="2:9" x14ac:dyDescent="0.25">
      <c r="B437" s="2" t="s">
        <v>263</v>
      </c>
      <c r="C437" s="3">
        <v>4</v>
      </c>
      <c r="D437" s="1" t="s">
        <v>863</v>
      </c>
      <c r="E437" s="3">
        <v>2018</v>
      </c>
      <c r="F437" s="3">
        <v>3</v>
      </c>
      <c r="G437" s="3" t="s">
        <v>869</v>
      </c>
      <c r="H437" s="19">
        <v>2018</v>
      </c>
      <c r="I437" s="2" t="s">
        <v>2</v>
      </c>
    </row>
    <row r="438" spans="2:9" x14ac:dyDescent="0.25">
      <c r="B438" s="2" t="s">
        <v>264</v>
      </c>
      <c r="C438" s="3">
        <v>4</v>
      </c>
      <c r="D438" s="1" t="s">
        <v>863</v>
      </c>
      <c r="E438" s="3">
        <v>2018</v>
      </c>
      <c r="F438" s="3">
        <v>22</v>
      </c>
      <c r="G438" s="3" t="s">
        <v>861</v>
      </c>
      <c r="H438" s="19">
        <v>1965</v>
      </c>
      <c r="I438" s="2" t="s">
        <v>2</v>
      </c>
    </row>
    <row r="439" spans="2:9" x14ac:dyDescent="0.25">
      <c r="B439" s="2" t="s">
        <v>265</v>
      </c>
      <c r="C439" s="3">
        <v>4</v>
      </c>
      <c r="D439" s="1" t="s">
        <v>863</v>
      </c>
      <c r="E439" s="3">
        <v>2018</v>
      </c>
      <c r="F439" s="3">
        <v>20</v>
      </c>
      <c r="G439" s="3" t="s">
        <v>857</v>
      </c>
      <c r="H439" s="19">
        <v>2016</v>
      </c>
      <c r="I439" s="2" t="s">
        <v>2</v>
      </c>
    </row>
    <row r="440" spans="2:9" x14ac:dyDescent="0.25">
      <c r="B440" s="2" t="s">
        <v>266</v>
      </c>
      <c r="C440" s="3">
        <v>6</v>
      </c>
      <c r="D440" s="1" t="s">
        <v>863</v>
      </c>
      <c r="E440" s="3">
        <v>2018</v>
      </c>
      <c r="F440" s="3">
        <v>6</v>
      </c>
      <c r="G440" s="3" t="s">
        <v>868</v>
      </c>
      <c r="H440" s="19">
        <v>2018</v>
      </c>
      <c r="I440" s="2" t="s">
        <v>3</v>
      </c>
    </row>
    <row r="441" spans="2:9" x14ac:dyDescent="0.25">
      <c r="B441" s="2" t="s">
        <v>267</v>
      </c>
      <c r="C441" s="3">
        <v>6</v>
      </c>
      <c r="D441" s="1" t="s">
        <v>863</v>
      </c>
      <c r="E441" s="3">
        <v>2018</v>
      </c>
      <c r="F441" s="3">
        <v>17</v>
      </c>
      <c r="G441" s="3" t="s">
        <v>869</v>
      </c>
      <c r="H441" s="19">
        <v>2018</v>
      </c>
      <c r="I441" s="2" t="s">
        <v>2</v>
      </c>
    </row>
    <row r="442" spans="2:9" x14ac:dyDescent="0.25">
      <c r="B442" s="2" t="s">
        <v>268</v>
      </c>
      <c r="C442" s="3">
        <v>6</v>
      </c>
      <c r="D442" s="1" t="s">
        <v>863</v>
      </c>
      <c r="E442" s="3">
        <v>2018</v>
      </c>
      <c r="F442" s="3">
        <v>12</v>
      </c>
      <c r="G442" s="3" t="s">
        <v>867</v>
      </c>
      <c r="H442" s="19">
        <v>1985</v>
      </c>
      <c r="I442" s="2" t="s">
        <v>2</v>
      </c>
    </row>
    <row r="443" spans="2:9" x14ac:dyDescent="0.25">
      <c r="B443" s="2" t="s">
        <v>269</v>
      </c>
      <c r="C443" s="3">
        <v>13</v>
      </c>
      <c r="D443" s="1" t="s">
        <v>863</v>
      </c>
      <c r="E443" s="3">
        <v>2018</v>
      </c>
      <c r="F443" s="3">
        <v>14</v>
      </c>
      <c r="G443" s="3" t="s">
        <v>869</v>
      </c>
      <c r="H443" s="19">
        <v>2018</v>
      </c>
      <c r="I443" s="2" t="s">
        <v>2</v>
      </c>
    </row>
    <row r="444" spans="2:9" x14ac:dyDescent="0.25">
      <c r="B444" s="2" t="s">
        <v>270</v>
      </c>
      <c r="C444" s="3">
        <v>13</v>
      </c>
      <c r="D444" s="1" t="s">
        <v>863</v>
      </c>
      <c r="E444" s="3">
        <v>2018</v>
      </c>
      <c r="F444" s="3">
        <v>7</v>
      </c>
      <c r="G444" s="3" t="s">
        <v>869</v>
      </c>
      <c r="H444" s="19">
        <v>2018</v>
      </c>
      <c r="I444" s="2" t="s">
        <v>2</v>
      </c>
    </row>
    <row r="445" spans="2:9" x14ac:dyDescent="0.25">
      <c r="B445" s="2" t="s">
        <v>271</v>
      </c>
      <c r="C445" s="3">
        <v>13</v>
      </c>
      <c r="D445" s="1" t="s">
        <v>863</v>
      </c>
      <c r="E445" s="3">
        <v>2018</v>
      </c>
      <c r="F445" s="3">
        <v>14</v>
      </c>
      <c r="G445" s="3" t="s">
        <v>868</v>
      </c>
      <c r="H445" s="19">
        <v>1976</v>
      </c>
      <c r="I445" s="2" t="s">
        <v>2</v>
      </c>
    </row>
    <row r="446" spans="2:9" x14ac:dyDescent="0.25">
      <c r="B446" s="2" t="s">
        <v>272</v>
      </c>
      <c r="C446" s="3">
        <v>14</v>
      </c>
      <c r="D446" s="1" t="s">
        <v>863</v>
      </c>
      <c r="E446" s="3">
        <v>2018</v>
      </c>
      <c r="F446" s="3">
        <v>10</v>
      </c>
      <c r="G446" s="3" t="s">
        <v>864</v>
      </c>
      <c r="H446" s="19">
        <v>2018</v>
      </c>
      <c r="I446" s="2" t="s">
        <v>3</v>
      </c>
    </row>
    <row r="447" spans="2:9" x14ac:dyDescent="0.25">
      <c r="B447" s="2" t="s">
        <v>273</v>
      </c>
      <c r="C447" s="3">
        <v>17</v>
      </c>
      <c r="D447" s="1" t="s">
        <v>863</v>
      </c>
      <c r="E447" s="3">
        <v>2018</v>
      </c>
      <c r="F447" s="3">
        <v>24</v>
      </c>
      <c r="G447" s="3" t="s">
        <v>864</v>
      </c>
      <c r="H447" s="19">
        <v>2018</v>
      </c>
      <c r="I447" s="2" t="s">
        <v>3</v>
      </c>
    </row>
    <row r="448" spans="2:9" x14ac:dyDescent="0.25">
      <c r="B448" s="2" t="s">
        <v>274</v>
      </c>
      <c r="C448" s="3">
        <v>17</v>
      </c>
      <c r="D448" s="1" t="s">
        <v>863</v>
      </c>
      <c r="E448" s="3">
        <v>2018</v>
      </c>
      <c r="F448" s="3">
        <v>18</v>
      </c>
      <c r="G448" s="3" t="s">
        <v>864</v>
      </c>
      <c r="H448" s="19">
        <v>2018</v>
      </c>
      <c r="I448" s="2" t="s">
        <v>3</v>
      </c>
    </row>
    <row r="449" spans="2:9" x14ac:dyDescent="0.25">
      <c r="B449" s="2" t="s">
        <v>275</v>
      </c>
      <c r="C449" s="3">
        <v>17</v>
      </c>
      <c r="D449" s="1" t="s">
        <v>863</v>
      </c>
      <c r="E449" s="3">
        <v>2018</v>
      </c>
      <c r="F449" s="3">
        <v>12</v>
      </c>
      <c r="G449" s="3" t="s">
        <v>869</v>
      </c>
      <c r="H449" s="19">
        <v>2018</v>
      </c>
      <c r="I449" s="2" t="s">
        <v>2</v>
      </c>
    </row>
    <row r="450" spans="2:9" x14ac:dyDescent="0.25">
      <c r="B450" s="2" t="s">
        <v>276</v>
      </c>
      <c r="C450" s="3">
        <v>17</v>
      </c>
      <c r="D450" s="1" t="s">
        <v>863</v>
      </c>
      <c r="E450" s="3">
        <v>2018</v>
      </c>
      <c r="F450" s="3">
        <v>28</v>
      </c>
      <c r="G450" s="3" t="s">
        <v>861</v>
      </c>
      <c r="H450" s="19">
        <v>2016</v>
      </c>
      <c r="I450" s="2" t="s">
        <v>3</v>
      </c>
    </row>
    <row r="451" spans="2:9" x14ac:dyDescent="0.25">
      <c r="B451" s="2" t="s">
        <v>277</v>
      </c>
      <c r="C451" s="3">
        <v>17</v>
      </c>
      <c r="D451" s="1" t="s">
        <v>863</v>
      </c>
      <c r="E451" s="3">
        <v>2018</v>
      </c>
      <c r="F451" s="3">
        <v>31</v>
      </c>
      <c r="G451" s="3" t="s">
        <v>856</v>
      </c>
      <c r="H451" s="19">
        <v>1965</v>
      </c>
      <c r="I451" s="2" t="s">
        <v>3</v>
      </c>
    </row>
    <row r="452" spans="2:9" x14ac:dyDescent="0.25">
      <c r="B452" s="2" t="s">
        <v>278</v>
      </c>
      <c r="C452" s="3">
        <v>18</v>
      </c>
      <c r="D452" s="1" t="s">
        <v>863</v>
      </c>
      <c r="E452" s="3">
        <v>2018</v>
      </c>
      <c r="F452" s="3">
        <v>30</v>
      </c>
      <c r="G452" s="3" t="s">
        <v>868</v>
      </c>
      <c r="H452" s="19">
        <v>2018</v>
      </c>
      <c r="I452" s="2" t="s">
        <v>2</v>
      </c>
    </row>
    <row r="453" spans="2:9" x14ac:dyDescent="0.25">
      <c r="B453" s="2" t="s">
        <v>279</v>
      </c>
      <c r="C453" s="3">
        <v>19</v>
      </c>
      <c r="D453" s="1" t="s">
        <v>863</v>
      </c>
      <c r="E453" s="3">
        <v>2018</v>
      </c>
      <c r="F453" s="3">
        <v>5</v>
      </c>
      <c r="G453" s="3" t="s">
        <v>863</v>
      </c>
      <c r="H453" s="19">
        <v>2018</v>
      </c>
      <c r="I453" s="2" t="s">
        <v>3</v>
      </c>
    </row>
    <row r="454" spans="2:9" x14ac:dyDescent="0.25">
      <c r="B454" s="2" t="s">
        <v>280</v>
      </c>
      <c r="C454" s="3">
        <v>19</v>
      </c>
      <c r="D454" s="1" t="s">
        <v>863</v>
      </c>
      <c r="E454" s="3">
        <v>2018</v>
      </c>
      <c r="F454" s="3">
        <v>25</v>
      </c>
      <c r="G454" s="3" t="s">
        <v>869</v>
      </c>
      <c r="H454" s="19">
        <v>2018</v>
      </c>
      <c r="I454" s="2" t="s">
        <v>3</v>
      </c>
    </row>
    <row r="455" spans="2:9" x14ac:dyDescent="0.25">
      <c r="B455" s="2" t="s">
        <v>281</v>
      </c>
      <c r="C455" s="3">
        <v>19</v>
      </c>
      <c r="D455" s="1" t="s">
        <v>863</v>
      </c>
      <c r="E455" s="3">
        <v>2018</v>
      </c>
      <c r="F455" s="3">
        <v>9</v>
      </c>
      <c r="G455" s="3" t="s">
        <v>864</v>
      </c>
      <c r="H455" s="19">
        <v>2018</v>
      </c>
      <c r="I455" s="2" t="s">
        <v>3</v>
      </c>
    </row>
    <row r="456" spans="2:9" x14ac:dyDescent="0.25">
      <c r="B456" s="2" t="s">
        <v>282</v>
      </c>
      <c r="C456" s="3">
        <v>19</v>
      </c>
      <c r="D456" s="1" t="s">
        <v>863</v>
      </c>
      <c r="E456" s="3">
        <v>2018</v>
      </c>
      <c r="F456" s="3">
        <v>29</v>
      </c>
      <c r="G456" s="3" t="s">
        <v>868</v>
      </c>
      <c r="H456" s="19">
        <v>2018</v>
      </c>
      <c r="I456" s="2" t="s">
        <v>3</v>
      </c>
    </row>
    <row r="457" spans="2:9" x14ac:dyDescent="0.25">
      <c r="B457" s="2" t="s">
        <v>283</v>
      </c>
      <c r="C457" s="3">
        <v>20</v>
      </c>
      <c r="D457" s="1" t="s">
        <v>863</v>
      </c>
      <c r="E457" s="3">
        <v>2018</v>
      </c>
      <c r="F457" s="3">
        <v>25</v>
      </c>
      <c r="G457" s="3" t="s">
        <v>869</v>
      </c>
      <c r="H457" s="19">
        <v>2018</v>
      </c>
      <c r="I457" s="2" t="s">
        <v>2</v>
      </c>
    </row>
    <row r="458" spans="2:9" x14ac:dyDescent="0.25">
      <c r="B458" s="2" t="s">
        <v>284</v>
      </c>
      <c r="C458" s="3">
        <v>20</v>
      </c>
      <c r="D458" s="1" t="s">
        <v>863</v>
      </c>
      <c r="E458" s="3">
        <v>2018</v>
      </c>
      <c r="F458" s="3">
        <v>23</v>
      </c>
      <c r="G458" s="3" t="s">
        <v>864</v>
      </c>
      <c r="H458" s="19">
        <v>2018</v>
      </c>
      <c r="I458" s="2" t="s">
        <v>2</v>
      </c>
    </row>
    <row r="459" spans="2:9" x14ac:dyDescent="0.25">
      <c r="B459" s="2" t="s">
        <v>285</v>
      </c>
      <c r="C459" s="3">
        <v>20</v>
      </c>
      <c r="D459" s="1" t="s">
        <v>863</v>
      </c>
      <c r="E459" s="3">
        <v>2018</v>
      </c>
      <c r="F459" s="3">
        <v>2</v>
      </c>
      <c r="G459" s="3" t="s">
        <v>863</v>
      </c>
      <c r="H459" s="19">
        <v>2018</v>
      </c>
      <c r="I459" s="2" t="s">
        <v>3</v>
      </c>
    </row>
    <row r="460" spans="2:9" x14ac:dyDescent="0.25">
      <c r="B460" s="2" t="s">
        <v>286</v>
      </c>
      <c r="C460" s="3">
        <v>20</v>
      </c>
      <c r="D460" s="1" t="s">
        <v>863</v>
      </c>
      <c r="E460" s="3">
        <v>2018</v>
      </c>
      <c r="F460" s="3">
        <v>26</v>
      </c>
      <c r="G460" s="3" t="s">
        <v>861</v>
      </c>
      <c r="H460" s="19">
        <v>2018</v>
      </c>
      <c r="I460" s="2" t="s">
        <v>2</v>
      </c>
    </row>
    <row r="461" spans="2:9" x14ac:dyDescent="0.25">
      <c r="B461" s="2" t="s">
        <v>287</v>
      </c>
      <c r="C461" s="3">
        <v>20</v>
      </c>
      <c r="D461" s="1" t="s">
        <v>863</v>
      </c>
      <c r="E461" s="3">
        <v>2018</v>
      </c>
      <c r="F461" s="3">
        <v>3</v>
      </c>
      <c r="G461" s="3" t="s">
        <v>869</v>
      </c>
      <c r="H461" s="19">
        <v>2018</v>
      </c>
      <c r="I461" s="2" t="s">
        <v>2</v>
      </c>
    </row>
    <row r="462" spans="2:9" x14ac:dyDescent="0.25">
      <c r="B462" s="2" t="s">
        <v>288</v>
      </c>
      <c r="C462" s="3">
        <v>20</v>
      </c>
      <c r="D462" s="1" t="s">
        <v>863</v>
      </c>
      <c r="E462" s="3">
        <v>2018</v>
      </c>
      <c r="F462" s="3">
        <v>24</v>
      </c>
      <c r="G462" s="3" t="s">
        <v>864</v>
      </c>
      <c r="H462" s="19">
        <v>2018</v>
      </c>
      <c r="I462" s="2" t="s">
        <v>3</v>
      </c>
    </row>
    <row r="463" spans="2:9" x14ac:dyDescent="0.25">
      <c r="B463" s="2" t="s">
        <v>289</v>
      </c>
      <c r="C463" s="3">
        <v>24</v>
      </c>
      <c r="D463" s="1" t="s">
        <v>863</v>
      </c>
      <c r="E463" s="3">
        <v>2018</v>
      </c>
      <c r="F463" s="3">
        <v>9</v>
      </c>
      <c r="G463" s="3" t="s">
        <v>869</v>
      </c>
      <c r="H463" s="19">
        <v>2017</v>
      </c>
      <c r="I463" s="2" t="s">
        <v>2</v>
      </c>
    </row>
    <row r="464" spans="2:9" x14ac:dyDescent="0.25">
      <c r="B464" s="2" t="s">
        <v>290</v>
      </c>
      <c r="C464" s="3">
        <v>24</v>
      </c>
      <c r="D464" s="1" t="s">
        <v>863</v>
      </c>
      <c r="E464" s="3">
        <v>2018</v>
      </c>
      <c r="F464" s="3">
        <v>17</v>
      </c>
      <c r="G464" s="3" t="s">
        <v>863</v>
      </c>
      <c r="H464" s="19">
        <v>2018</v>
      </c>
      <c r="I464" s="2" t="s">
        <v>3</v>
      </c>
    </row>
    <row r="465" spans="2:9" x14ac:dyDescent="0.25">
      <c r="B465" s="2" t="s">
        <v>291</v>
      </c>
      <c r="C465" s="3">
        <v>24</v>
      </c>
      <c r="D465" s="1" t="s">
        <v>863</v>
      </c>
      <c r="E465" s="3">
        <v>2018</v>
      </c>
      <c r="F465" s="3">
        <v>8</v>
      </c>
      <c r="G465" s="3" t="s">
        <v>864</v>
      </c>
      <c r="H465" s="19">
        <v>2018</v>
      </c>
      <c r="I465" s="2" t="s">
        <v>2</v>
      </c>
    </row>
    <row r="466" spans="2:9" x14ac:dyDescent="0.25">
      <c r="B466" s="2" t="s">
        <v>292</v>
      </c>
      <c r="C466" s="3">
        <v>25</v>
      </c>
      <c r="D466" s="1" t="s">
        <v>863</v>
      </c>
      <c r="E466" s="3">
        <v>2018</v>
      </c>
      <c r="F466" s="3">
        <v>1</v>
      </c>
      <c r="G466" s="3" t="s">
        <v>863</v>
      </c>
      <c r="H466" s="19">
        <v>2018</v>
      </c>
      <c r="I466" s="2" t="s">
        <v>2</v>
      </c>
    </row>
    <row r="467" spans="2:9" x14ac:dyDescent="0.25">
      <c r="B467" s="2" t="s">
        <v>293</v>
      </c>
      <c r="C467" s="3">
        <v>25</v>
      </c>
      <c r="D467" s="1" t="s">
        <v>863</v>
      </c>
      <c r="E467" s="3">
        <v>2018</v>
      </c>
      <c r="F467" s="3">
        <v>17</v>
      </c>
      <c r="G467" s="3" t="s">
        <v>863</v>
      </c>
      <c r="H467" s="19">
        <v>2018</v>
      </c>
      <c r="I467" s="2" t="s">
        <v>3</v>
      </c>
    </row>
    <row r="468" spans="2:9" x14ac:dyDescent="0.25">
      <c r="B468" s="2" t="s">
        <v>294</v>
      </c>
      <c r="C468" s="3">
        <v>25</v>
      </c>
      <c r="D468" s="1" t="s">
        <v>863</v>
      </c>
      <c r="E468" s="3">
        <v>2018</v>
      </c>
      <c r="F468" s="3">
        <v>21</v>
      </c>
      <c r="G468" s="3" t="s">
        <v>868</v>
      </c>
      <c r="H468" s="19">
        <v>2018</v>
      </c>
      <c r="I468" s="2" t="s">
        <v>3</v>
      </c>
    </row>
    <row r="469" spans="2:9" x14ac:dyDescent="0.25">
      <c r="B469" s="2" t="s">
        <v>295</v>
      </c>
      <c r="C469" s="3">
        <v>25</v>
      </c>
      <c r="D469" s="1" t="s">
        <v>863</v>
      </c>
      <c r="E469" s="3">
        <v>2018</v>
      </c>
      <c r="F469" s="3">
        <v>20</v>
      </c>
      <c r="G469" s="3" t="s">
        <v>856</v>
      </c>
      <c r="H469" s="38">
        <v>1963</v>
      </c>
      <c r="I469" s="2" t="s">
        <v>3</v>
      </c>
    </row>
    <row r="470" spans="2:9" x14ac:dyDescent="0.25">
      <c r="B470" s="2" t="s">
        <v>296</v>
      </c>
      <c r="C470" s="3">
        <v>25</v>
      </c>
      <c r="D470" s="1" t="s">
        <v>863</v>
      </c>
      <c r="E470" s="3">
        <v>2018</v>
      </c>
      <c r="F470" s="3">
        <v>28</v>
      </c>
      <c r="G470" s="3" t="s">
        <v>865</v>
      </c>
      <c r="H470" s="19">
        <v>2018</v>
      </c>
      <c r="I470" s="2" t="s">
        <v>3</v>
      </c>
    </row>
    <row r="471" spans="2:9" x14ac:dyDescent="0.25">
      <c r="B471" s="2" t="s">
        <v>297</v>
      </c>
      <c r="C471" s="3">
        <v>25</v>
      </c>
      <c r="D471" s="1" t="s">
        <v>863</v>
      </c>
      <c r="E471" s="3">
        <v>2018</v>
      </c>
      <c r="F471" s="3">
        <v>15</v>
      </c>
      <c r="G471" s="3" t="s">
        <v>869</v>
      </c>
      <c r="H471" s="19">
        <v>2018</v>
      </c>
      <c r="I471" s="2" t="s">
        <v>2</v>
      </c>
    </row>
    <row r="472" spans="2:9" x14ac:dyDescent="0.25">
      <c r="B472" s="2" t="s">
        <v>298</v>
      </c>
      <c r="C472" s="3">
        <v>26</v>
      </c>
      <c r="D472" s="1" t="s">
        <v>863</v>
      </c>
      <c r="E472" s="3">
        <v>2018</v>
      </c>
      <c r="F472" s="3">
        <v>10</v>
      </c>
      <c r="G472" s="3" t="s">
        <v>868</v>
      </c>
      <c r="H472" s="19">
        <v>2018</v>
      </c>
      <c r="I472" s="2" t="s">
        <v>3</v>
      </c>
    </row>
    <row r="473" spans="2:9" x14ac:dyDescent="0.25">
      <c r="B473" s="2" t="s">
        <v>299</v>
      </c>
      <c r="C473" s="3">
        <v>26</v>
      </c>
      <c r="D473" s="1" t="s">
        <v>863</v>
      </c>
      <c r="E473" s="3">
        <v>2018</v>
      </c>
      <c r="F473" s="3">
        <v>5</v>
      </c>
      <c r="G473" s="3" t="s">
        <v>869</v>
      </c>
      <c r="H473" s="19">
        <v>2018</v>
      </c>
      <c r="I473" s="2" t="s">
        <v>2</v>
      </c>
    </row>
    <row r="474" spans="2:9" x14ac:dyDescent="0.25">
      <c r="B474" s="2" t="s">
        <v>300</v>
      </c>
      <c r="C474" s="3">
        <v>26</v>
      </c>
      <c r="D474" s="1" t="s">
        <v>863</v>
      </c>
      <c r="E474" s="3">
        <v>2018</v>
      </c>
      <c r="F474" s="3">
        <v>27</v>
      </c>
      <c r="G474" s="3" t="s">
        <v>869</v>
      </c>
      <c r="H474" s="19">
        <v>2018</v>
      </c>
      <c r="I474" s="2" t="s">
        <v>3</v>
      </c>
    </row>
    <row r="475" spans="2:9" x14ac:dyDescent="0.25">
      <c r="B475" s="2" t="s">
        <v>301</v>
      </c>
      <c r="C475" s="3">
        <v>26</v>
      </c>
      <c r="D475" s="1" t="s">
        <v>863</v>
      </c>
      <c r="E475" s="3">
        <v>2018</v>
      </c>
      <c r="F475" s="3">
        <v>22</v>
      </c>
      <c r="G475" s="3" t="s">
        <v>863</v>
      </c>
      <c r="H475" s="19">
        <v>2018</v>
      </c>
      <c r="I475" s="2" t="s">
        <v>3</v>
      </c>
    </row>
    <row r="476" spans="2:9" x14ac:dyDescent="0.25">
      <c r="B476" s="2" t="s">
        <v>302</v>
      </c>
      <c r="C476" s="3">
        <v>26</v>
      </c>
      <c r="D476" s="1" t="s">
        <v>863</v>
      </c>
      <c r="E476" s="3">
        <v>2018</v>
      </c>
      <c r="F476" s="3">
        <v>14</v>
      </c>
      <c r="G476" s="3" t="s">
        <v>869</v>
      </c>
      <c r="H476" s="38">
        <v>2017</v>
      </c>
      <c r="I476" s="2" t="s">
        <v>3</v>
      </c>
    </row>
    <row r="477" spans="2:9" x14ac:dyDescent="0.25">
      <c r="B477" s="2" t="s">
        <v>303</v>
      </c>
      <c r="C477" s="3">
        <v>27</v>
      </c>
      <c r="D477" s="1" t="s">
        <v>863</v>
      </c>
      <c r="E477" s="3">
        <v>2018</v>
      </c>
      <c r="F477" s="3">
        <v>10</v>
      </c>
      <c r="G477" s="3" t="s">
        <v>856</v>
      </c>
      <c r="H477" s="19">
        <v>2018</v>
      </c>
      <c r="I477" s="2" t="s">
        <v>3</v>
      </c>
    </row>
    <row r="478" spans="2:9" x14ac:dyDescent="0.25">
      <c r="B478" s="2" t="s">
        <v>304</v>
      </c>
      <c r="C478" s="3">
        <v>27</v>
      </c>
      <c r="D478" s="1" t="s">
        <v>863</v>
      </c>
      <c r="E478" s="3">
        <v>2018</v>
      </c>
      <c r="F478" s="3">
        <v>19</v>
      </c>
      <c r="G478" s="3" t="s">
        <v>863</v>
      </c>
      <c r="H478" s="19">
        <v>2018</v>
      </c>
      <c r="I478" s="2" t="s">
        <v>2</v>
      </c>
    </row>
    <row r="479" spans="2:9" x14ac:dyDescent="0.25">
      <c r="B479" s="2" t="s">
        <v>305</v>
      </c>
      <c r="C479" s="3">
        <v>27</v>
      </c>
      <c r="D479" s="1" t="s">
        <v>863</v>
      </c>
      <c r="E479" s="3">
        <v>2018</v>
      </c>
      <c r="F479" s="3">
        <v>10</v>
      </c>
      <c r="G479" s="3" t="s">
        <v>865</v>
      </c>
      <c r="H479" s="38">
        <v>1955</v>
      </c>
      <c r="I479" s="2" t="s">
        <v>2</v>
      </c>
    </row>
    <row r="480" spans="2:9" x14ac:dyDescent="0.25">
      <c r="B480" s="2" t="s">
        <v>306</v>
      </c>
      <c r="C480" s="3">
        <v>28</v>
      </c>
      <c r="D480" s="1" t="s">
        <v>863</v>
      </c>
      <c r="E480" s="3">
        <v>2018</v>
      </c>
      <c r="F480" s="3">
        <v>7</v>
      </c>
      <c r="G480" s="3" t="s">
        <v>863</v>
      </c>
      <c r="H480" s="19">
        <v>2018</v>
      </c>
      <c r="I480" s="2" t="s">
        <v>3</v>
      </c>
    </row>
    <row r="481" spans="2:9" x14ac:dyDescent="0.25">
      <c r="B481" s="2" t="s">
        <v>307</v>
      </c>
      <c r="C481" s="3">
        <v>28</v>
      </c>
      <c r="D481" s="1" t="s">
        <v>863</v>
      </c>
      <c r="E481" s="3">
        <v>2018</v>
      </c>
      <c r="F481" s="3">
        <v>11</v>
      </c>
      <c r="G481" s="3" t="s">
        <v>868</v>
      </c>
      <c r="H481" s="38">
        <v>2014</v>
      </c>
      <c r="I481" s="2" t="s">
        <v>3</v>
      </c>
    </row>
    <row r="482" spans="2:9" x14ac:dyDescent="0.25">
      <c r="B482" s="2" t="s">
        <v>308</v>
      </c>
      <c r="C482" s="3">
        <v>28</v>
      </c>
      <c r="D482" s="1" t="s">
        <v>863</v>
      </c>
      <c r="E482" s="3">
        <v>2018</v>
      </c>
      <c r="F482" s="3">
        <v>26</v>
      </c>
      <c r="G482" s="3" t="s">
        <v>866</v>
      </c>
      <c r="H482" s="19">
        <v>2018</v>
      </c>
      <c r="I482" s="2" t="s">
        <v>2</v>
      </c>
    </row>
    <row r="483" spans="2:9" x14ac:dyDescent="0.25">
      <c r="B483" s="2" t="s">
        <v>309</v>
      </c>
      <c r="C483" s="3">
        <v>28</v>
      </c>
      <c r="D483" s="1" t="s">
        <v>863</v>
      </c>
      <c r="E483" s="3">
        <v>2018</v>
      </c>
      <c r="F483" s="3">
        <v>23</v>
      </c>
      <c r="G483" s="3" t="s">
        <v>863</v>
      </c>
      <c r="H483" s="19">
        <v>2018</v>
      </c>
      <c r="I483" s="2" t="s">
        <v>3</v>
      </c>
    </row>
    <row r="484" spans="2:9" x14ac:dyDescent="0.25">
      <c r="B484" s="2" t="s">
        <v>310</v>
      </c>
      <c r="C484" s="3">
        <v>28</v>
      </c>
      <c r="D484" s="1" t="s">
        <v>863</v>
      </c>
      <c r="E484" s="3">
        <v>2018</v>
      </c>
      <c r="F484" s="3">
        <v>18</v>
      </c>
      <c r="G484" s="3" t="s">
        <v>863</v>
      </c>
      <c r="H484" s="19">
        <v>2018</v>
      </c>
      <c r="I484" s="2" t="s">
        <v>3</v>
      </c>
    </row>
    <row r="485" spans="2:9" x14ac:dyDescent="0.25">
      <c r="B485" s="2" t="s">
        <v>311</v>
      </c>
      <c r="C485" s="3">
        <v>28</v>
      </c>
      <c r="D485" s="1" t="s">
        <v>863</v>
      </c>
      <c r="E485" s="3">
        <v>2018</v>
      </c>
      <c r="F485" s="3">
        <v>20</v>
      </c>
      <c r="G485" s="3" t="s">
        <v>868</v>
      </c>
      <c r="H485" s="38">
        <v>2006</v>
      </c>
      <c r="I485" s="2" t="s">
        <v>3</v>
      </c>
    </row>
    <row r="486" spans="2:9" x14ac:dyDescent="0.25">
      <c r="B486" s="2" t="s">
        <v>312</v>
      </c>
      <c r="C486" s="3">
        <v>5</v>
      </c>
      <c r="D486" s="1" t="s">
        <v>870</v>
      </c>
      <c r="E486" s="3">
        <v>2018</v>
      </c>
      <c r="F486" s="3">
        <v>3</v>
      </c>
      <c r="G486" s="3" t="s">
        <v>863</v>
      </c>
      <c r="H486" s="19">
        <v>2018</v>
      </c>
      <c r="I486" s="2" t="s">
        <v>3</v>
      </c>
    </row>
    <row r="487" spans="2:9" x14ac:dyDescent="0.25">
      <c r="B487" s="2" t="s">
        <v>313</v>
      </c>
      <c r="C487" s="3">
        <v>5</v>
      </c>
      <c r="D487" s="1" t="s">
        <v>870</v>
      </c>
      <c r="E487" s="3">
        <v>2018</v>
      </c>
      <c r="F487" s="3">
        <v>19</v>
      </c>
      <c r="G487" s="3" t="s">
        <v>863</v>
      </c>
      <c r="H487" s="19">
        <v>2018</v>
      </c>
      <c r="I487" s="2" t="s">
        <v>3</v>
      </c>
    </row>
    <row r="488" spans="2:9" x14ac:dyDescent="0.25">
      <c r="B488" s="2" t="s">
        <v>314</v>
      </c>
      <c r="C488" s="3">
        <v>8</v>
      </c>
      <c r="D488" s="1" t="s">
        <v>870</v>
      </c>
      <c r="E488" s="3">
        <v>2018</v>
      </c>
      <c r="F488" s="3">
        <v>28</v>
      </c>
      <c r="G488" s="3" t="s">
        <v>863</v>
      </c>
      <c r="H488" s="19">
        <v>2018</v>
      </c>
      <c r="I488" s="2" t="s">
        <v>3</v>
      </c>
    </row>
    <row r="489" spans="2:9" x14ac:dyDescent="0.25">
      <c r="B489" s="2" t="s">
        <v>315</v>
      </c>
      <c r="C489" s="3">
        <v>8</v>
      </c>
      <c r="D489" s="1" t="s">
        <v>870</v>
      </c>
      <c r="E489" s="3">
        <v>2018</v>
      </c>
      <c r="F489" s="3">
        <v>21</v>
      </c>
      <c r="G489" s="3" t="s">
        <v>867</v>
      </c>
      <c r="H489" s="19">
        <v>2018</v>
      </c>
      <c r="I489" s="2" t="s">
        <v>2</v>
      </c>
    </row>
    <row r="490" spans="2:9" x14ac:dyDescent="0.25">
      <c r="B490" s="2" t="s">
        <v>316</v>
      </c>
      <c r="C490" s="3">
        <v>8</v>
      </c>
      <c r="D490" s="1" t="s">
        <v>870</v>
      </c>
      <c r="E490" s="3">
        <v>2018</v>
      </c>
      <c r="F490" s="3">
        <v>1</v>
      </c>
      <c r="G490" s="3" t="s">
        <v>870</v>
      </c>
      <c r="H490" s="19">
        <v>2018</v>
      </c>
      <c r="I490" s="2" t="s">
        <v>2</v>
      </c>
    </row>
    <row r="491" spans="2:9" x14ac:dyDescent="0.25">
      <c r="B491" s="2" t="s">
        <v>317</v>
      </c>
      <c r="C491" s="3">
        <v>8</v>
      </c>
      <c r="D491" s="1" t="s">
        <v>870</v>
      </c>
      <c r="E491" s="3">
        <v>2018</v>
      </c>
      <c r="F491" s="3">
        <v>7</v>
      </c>
      <c r="G491" s="3" t="s">
        <v>863</v>
      </c>
      <c r="H491" s="19">
        <v>2018</v>
      </c>
      <c r="I491" s="2" t="s">
        <v>3</v>
      </c>
    </row>
    <row r="492" spans="2:9" x14ac:dyDescent="0.25">
      <c r="B492" s="2" t="s">
        <v>318</v>
      </c>
      <c r="C492" s="3">
        <v>8</v>
      </c>
      <c r="D492" s="1" t="s">
        <v>870</v>
      </c>
      <c r="E492" s="3">
        <v>2018</v>
      </c>
      <c r="F492" s="3">
        <v>25</v>
      </c>
      <c r="G492" s="3" t="s">
        <v>863</v>
      </c>
      <c r="H492" s="19">
        <v>2018</v>
      </c>
      <c r="I492" s="2" t="s">
        <v>3</v>
      </c>
    </row>
    <row r="493" spans="2:9" x14ac:dyDescent="0.25">
      <c r="B493" s="2" t="s">
        <v>319</v>
      </c>
      <c r="C493" s="3">
        <v>15</v>
      </c>
      <c r="D493" s="1" t="s">
        <v>870</v>
      </c>
      <c r="E493" s="3">
        <v>2018</v>
      </c>
      <c r="F493" s="3">
        <v>11</v>
      </c>
      <c r="G493" s="3" t="s">
        <v>869</v>
      </c>
      <c r="H493" s="19">
        <v>2018</v>
      </c>
      <c r="I493" s="2" t="s">
        <v>3</v>
      </c>
    </row>
    <row r="494" spans="2:9" x14ac:dyDescent="0.25">
      <c r="B494" s="2" t="s">
        <v>320</v>
      </c>
      <c r="C494" s="3">
        <v>15</v>
      </c>
      <c r="D494" s="1" t="s">
        <v>870</v>
      </c>
      <c r="E494" s="3">
        <v>2018</v>
      </c>
      <c r="F494" s="3">
        <v>3</v>
      </c>
      <c r="G494" s="3" t="s">
        <v>869</v>
      </c>
      <c r="H494" s="19">
        <v>2018</v>
      </c>
      <c r="I494" s="2" t="s">
        <v>3</v>
      </c>
    </row>
    <row r="495" spans="2:9" x14ac:dyDescent="0.25">
      <c r="B495" s="2" t="s">
        <v>321</v>
      </c>
      <c r="C495" s="3">
        <v>15</v>
      </c>
      <c r="D495" s="1" t="s">
        <v>870</v>
      </c>
      <c r="E495" s="3">
        <v>2018</v>
      </c>
      <c r="F495" s="3">
        <v>6</v>
      </c>
      <c r="G495" s="3" t="s">
        <v>863</v>
      </c>
      <c r="H495" s="19">
        <v>2018</v>
      </c>
      <c r="I495" s="2" t="s">
        <v>2</v>
      </c>
    </row>
    <row r="496" spans="2:9" x14ac:dyDescent="0.25">
      <c r="B496" s="2" t="s">
        <v>322</v>
      </c>
      <c r="C496" s="3">
        <v>15</v>
      </c>
      <c r="D496" s="1" t="s">
        <v>870</v>
      </c>
      <c r="E496" s="3">
        <v>2018</v>
      </c>
      <c r="F496" s="3">
        <v>10</v>
      </c>
      <c r="G496" s="3" t="s">
        <v>863</v>
      </c>
      <c r="H496" s="19">
        <v>2018</v>
      </c>
      <c r="I496" s="2" t="s">
        <v>3</v>
      </c>
    </row>
    <row r="497" spans="2:9" x14ac:dyDescent="0.25">
      <c r="B497" s="2" t="s">
        <v>323</v>
      </c>
      <c r="C497" s="3">
        <v>15</v>
      </c>
      <c r="D497" s="1" t="s">
        <v>870</v>
      </c>
      <c r="E497" s="3">
        <v>2018</v>
      </c>
      <c r="F497" s="3">
        <v>24</v>
      </c>
      <c r="G497" s="3" t="s">
        <v>864</v>
      </c>
      <c r="H497" s="19">
        <v>2018</v>
      </c>
      <c r="I497" s="2" t="s">
        <v>2</v>
      </c>
    </row>
    <row r="498" spans="2:9" x14ac:dyDescent="0.25">
      <c r="B498" s="2" t="s">
        <v>324</v>
      </c>
      <c r="C498" s="3">
        <v>16</v>
      </c>
      <c r="D498" s="1" t="s">
        <v>870</v>
      </c>
      <c r="E498" s="3">
        <v>2018</v>
      </c>
      <c r="F498" s="3">
        <v>6</v>
      </c>
      <c r="G498" s="3" t="s">
        <v>863</v>
      </c>
      <c r="H498" s="19">
        <v>2018</v>
      </c>
      <c r="I498" s="2" t="s">
        <v>2</v>
      </c>
    </row>
    <row r="499" spans="2:9" x14ac:dyDescent="0.25">
      <c r="B499" s="2" t="s">
        <v>325</v>
      </c>
      <c r="C499" s="3">
        <v>16</v>
      </c>
      <c r="D499" s="1" t="s">
        <v>870</v>
      </c>
      <c r="E499" s="3">
        <v>2018</v>
      </c>
      <c r="F499" s="3">
        <v>5</v>
      </c>
      <c r="G499" s="3" t="s">
        <v>867</v>
      </c>
      <c r="H499" s="19">
        <v>2014</v>
      </c>
      <c r="I499" s="2" t="s">
        <v>3</v>
      </c>
    </row>
    <row r="500" spans="2:9" x14ac:dyDescent="0.25">
      <c r="B500" s="2" t="s">
        <v>326</v>
      </c>
      <c r="C500" s="3">
        <v>16</v>
      </c>
      <c r="D500" s="1" t="s">
        <v>870</v>
      </c>
      <c r="E500" s="3">
        <v>2018</v>
      </c>
      <c r="F500" s="3">
        <v>13</v>
      </c>
      <c r="G500" s="3" t="s">
        <v>863</v>
      </c>
      <c r="H500" s="19">
        <v>2018</v>
      </c>
      <c r="I500" s="2" t="s">
        <v>3</v>
      </c>
    </row>
    <row r="501" spans="2:9" x14ac:dyDescent="0.25">
      <c r="B501" s="2" t="s">
        <v>327</v>
      </c>
      <c r="C501" s="3">
        <v>16</v>
      </c>
      <c r="D501" s="1" t="s">
        <v>870</v>
      </c>
      <c r="E501" s="3">
        <v>2018</v>
      </c>
      <c r="F501" s="3">
        <v>12</v>
      </c>
      <c r="G501" s="3" t="s">
        <v>857</v>
      </c>
      <c r="H501" s="19">
        <v>2015</v>
      </c>
      <c r="I501" s="2" t="s">
        <v>2</v>
      </c>
    </row>
    <row r="502" spans="2:9" x14ac:dyDescent="0.25">
      <c r="B502" s="2" t="s">
        <v>328</v>
      </c>
      <c r="C502" s="3">
        <v>16</v>
      </c>
      <c r="D502" s="1" t="s">
        <v>870</v>
      </c>
      <c r="E502" s="3">
        <v>2018</v>
      </c>
      <c r="F502" s="3">
        <v>8</v>
      </c>
      <c r="G502" s="3" t="s">
        <v>863</v>
      </c>
      <c r="H502" s="19">
        <v>1982</v>
      </c>
      <c r="I502" s="2" t="s">
        <v>3</v>
      </c>
    </row>
    <row r="503" spans="2:9" x14ac:dyDescent="0.25">
      <c r="B503" s="2" t="s">
        <v>329</v>
      </c>
      <c r="C503" s="3">
        <v>16</v>
      </c>
      <c r="D503" s="1" t="s">
        <v>870</v>
      </c>
      <c r="E503" s="3">
        <v>2018</v>
      </c>
      <c r="F503" s="3">
        <v>25</v>
      </c>
      <c r="G503" s="3" t="s">
        <v>866</v>
      </c>
      <c r="H503" s="19">
        <v>2018</v>
      </c>
      <c r="I503" s="2" t="s">
        <v>3</v>
      </c>
    </row>
    <row r="504" spans="2:9" x14ac:dyDescent="0.25">
      <c r="B504" s="2" t="s">
        <v>330</v>
      </c>
      <c r="C504" s="3">
        <v>16</v>
      </c>
      <c r="D504" s="1" t="s">
        <v>870</v>
      </c>
      <c r="E504" s="3">
        <v>2018</v>
      </c>
      <c r="F504" s="3">
        <v>27</v>
      </c>
      <c r="G504" s="3" t="s">
        <v>866</v>
      </c>
      <c r="H504" s="19">
        <v>2018</v>
      </c>
      <c r="I504" s="2" t="s">
        <v>2</v>
      </c>
    </row>
    <row r="505" spans="2:9" x14ac:dyDescent="0.25">
      <c r="B505" s="2" t="s">
        <v>331</v>
      </c>
      <c r="C505" s="3">
        <v>16</v>
      </c>
      <c r="D505" s="1" t="s">
        <v>870</v>
      </c>
      <c r="E505" s="3">
        <v>2018</v>
      </c>
      <c r="F505" s="3">
        <v>15</v>
      </c>
      <c r="G505" s="3" t="s">
        <v>856</v>
      </c>
      <c r="H505" s="19">
        <v>1942</v>
      </c>
      <c r="I505" s="2" t="s">
        <v>3</v>
      </c>
    </row>
    <row r="506" spans="2:9" x14ac:dyDescent="0.25">
      <c r="B506" s="2" t="s">
        <v>332</v>
      </c>
      <c r="C506" s="3">
        <v>16</v>
      </c>
      <c r="D506" s="1" t="s">
        <v>870</v>
      </c>
      <c r="E506" s="3">
        <v>2018</v>
      </c>
      <c r="F506" s="3">
        <v>13</v>
      </c>
      <c r="G506" s="3" t="s">
        <v>866</v>
      </c>
      <c r="H506" s="19">
        <v>2018</v>
      </c>
      <c r="I506" s="2" t="s">
        <v>3</v>
      </c>
    </row>
    <row r="507" spans="2:9" x14ac:dyDescent="0.25">
      <c r="B507" s="2" t="s">
        <v>333</v>
      </c>
      <c r="C507" s="3">
        <v>16</v>
      </c>
      <c r="D507" s="1" t="s">
        <v>870</v>
      </c>
      <c r="E507" s="3">
        <v>2018</v>
      </c>
      <c r="F507" s="3">
        <v>23</v>
      </c>
      <c r="G507" s="3" t="s">
        <v>858</v>
      </c>
      <c r="H507" s="19">
        <v>1977</v>
      </c>
      <c r="I507" s="2" t="s">
        <v>3</v>
      </c>
    </row>
    <row r="508" spans="2:9" x14ac:dyDescent="0.25">
      <c r="B508" s="2" t="s">
        <v>334</v>
      </c>
      <c r="C508" s="3">
        <v>16</v>
      </c>
      <c r="D508" s="1" t="s">
        <v>870</v>
      </c>
      <c r="E508" s="3">
        <v>2018</v>
      </c>
      <c r="F508" s="3">
        <v>14</v>
      </c>
      <c r="G508" s="3" t="s">
        <v>861</v>
      </c>
      <c r="H508" s="19">
        <v>1971</v>
      </c>
      <c r="I508" s="2" t="s">
        <v>3</v>
      </c>
    </row>
    <row r="509" spans="2:9" x14ac:dyDescent="0.25">
      <c r="B509" s="2" t="s">
        <v>335</v>
      </c>
      <c r="C509" s="3">
        <v>16</v>
      </c>
      <c r="D509" s="1" t="s">
        <v>870</v>
      </c>
      <c r="E509" s="3">
        <v>2018</v>
      </c>
      <c r="F509" s="3">
        <v>5</v>
      </c>
      <c r="G509" s="3" t="s">
        <v>863</v>
      </c>
      <c r="H509" s="19">
        <v>2018</v>
      </c>
      <c r="I509" s="2" t="s">
        <v>2</v>
      </c>
    </row>
    <row r="510" spans="2:9" x14ac:dyDescent="0.25">
      <c r="B510" s="2" t="s">
        <v>336</v>
      </c>
      <c r="C510" s="3">
        <v>16</v>
      </c>
      <c r="D510" s="1" t="s">
        <v>870</v>
      </c>
      <c r="E510" s="3">
        <v>2018</v>
      </c>
      <c r="F510" s="3">
        <v>12</v>
      </c>
      <c r="G510" s="3" t="s">
        <v>870</v>
      </c>
      <c r="H510" s="19">
        <v>2017</v>
      </c>
      <c r="I510" s="2" t="s">
        <v>3</v>
      </c>
    </row>
    <row r="511" spans="2:9" x14ac:dyDescent="0.25">
      <c r="B511" s="2" t="s">
        <v>337</v>
      </c>
      <c r="C511" s="3">
        <v>16</v>
      </c>
      <c r="D511" s="1" t="s">
        <v>870</v>
      </c>
      <c r="E511" s="3">
        <v>2018</v>
      </c>
      <c r="F511" s="3">
        <v>4</v>
      </c>
      <c r="G511" s="3" t="s">
        <v>863</v>
      </c>
      <c r="H511" s="19">
        <v>2018</v>
      </c>
      <c r="I511" s="2" t="s">
        <v>2</v>
      </c>
    </row>
    <row r="512" spans="2:9" x14ac:dyDescent="0.25">
      <c r="B512" s="2" t="s">
        <v>338</v>
      </c>
      <c r="C512" s="3">
        <v>16</v>
      </c>
      <c r="D512" s="1" t="s">
        <v>870</v>
      </c>
      <c r="E512" s="3">
        <v>2018</v>
      </c>
      <c r="F512" s="3">
        <v>6</v>
      </c>
      <c r="G512" s="3" t="s">
        <v>866</v>
      </c>
      <c r="H512" s="19">
        <v>2018</v>
      </c>
      <c r="I512" s="2" t="s">
        <v>2</v>
      </c>
    </row>
    <row r="513" spans="2:9" x14ac:dyDescent="0.25">
      <c r="B513" s="2" t="s">
        <v>339</v>
      </c>
      <c r="C513" s="3">
        <v>16</v>
      </c>
      <c r="D513" s="1" t="s">
        <v>870</v>
      </c>
      <c r="E513" s="3">
        <v>2018</v>
      </c>
      <c r="F513" s="3">
        <v>9</v>
      </c>
      <c r="G513" s="3" t="s">
        <v>869</v>
      </c>
      <c r="H513" s="19">
        <v>2018</v>
      </c>
      <c r="I513" s="2" t="s">
        <v>3</v>
      </c>
    </row>
    <row r="514" spans="2:9" x14ac:dyDescent="0.25">
      <c r="B514" s="2" t="s">
        <v>340</v>
      </c>
      <c r="C514" s="3">
        <v>26</v>
      </c>
      <c r="D514" s="1" t="s">
        <v>870</v>
      </c>
      <c r="E514" s="3">
        <v>2018</v>
      </c>
      <c r="F514" s="3">
        <v>17</v>
      </c>
      <c r="G514" s="3" t="s">
        <v>858</v>
      </c>
      <c r="H514" s="19">
        <v>2017</v>
      </c>
      <c r="I514" s="2" t="s">
        <v>2</v>
      </c>
    </row>
    <row r="515" spans="2:9" x14ac:dyDescent="0.25">
      <c r="B515" s="2" t="s">
        <v>341</v>
      </c>
      <c r="C515" s="3">
        <v>17</v>
      </c>
      <c r="D515" s="1" t="s">
        <v>870</v>
      </c>
      <c r="E515" s="3">
        <v>2018</v>
      </c>
      <c r="F515" s="3">
        <v>11</v>
      </c>
      <c r="G515" s="3" t="s">
        <v>864</v>
      </c>
      <c r="H515" s="19">
        <v>2017</v>
      </c>
      <c r="I515" s="2" t="s">
        <v>3</v>
      </c>
    </row>
    <row r="516" spans="2:9" x14ac:dyDescent="0.25">
      <c r="B516" s="2" t="s">
        <v>342</v>
      </c>
      <c r="C516" s="3">
        <v>17</v>
      </c>
      <c r="D516" s="1" t="s">
        <v>870</v>
      </c>
      <c r="E516" s="3">
        <v>2018</v>
      </c>
      <c r="F516" s="3">
        <v>21</v>
      </c>
      <c r="G516" s="3" t="s">
        <v>863</v>
      </c>
      <c r="H516" s="19">
        <v>1980</v>
      </c>
      <c r="I516" s="2" t="s">
        <v>2</v>
      </c>
    </row>
    <row r="517" spans="2:9" x14ac:dyDescent="0.25">
      <c r="B517" s="2" t="s">
        <v>343</v>
      </c>
      <c r="C517" s="3">
        <v>17</v>
      </c>
      <c r="D517" s="1" t="s">
        <v>870</v>
      </c>
      <c r="E517" s="3">
        <v>2018</v>
      </c>
      <c r="F517" s="3">
        <v>21</v>
      </c>
      <c r="G517" s="3" t="s">
        <v>869</v>
      </c>
      <c r="H517" s="19">
        <v>2015</v>
      </c>
      <c r="I517" s="2" t="s">
        <v>3</v>
      </c>
    </row>
    <row r="518" spans="2:9" x14ac:dyDescent="0.25">
      <c r="B518" s="2" t="s">
        <v>344</v>
      </c>
      <c r="C518" s="3">
        <v>17</v>
      </c>
      <c r="D518" s="1" t="s">
        <v>870</v>
      </c>
      <c r="E518" s="3">
        <v>2018</v>
      </c>
      <c r="F518" s="3">
        <v>15</v>
      </c>
      <c r="G518" s="3" t="s">
        <v>869</v>
      </c>
      <c r="H518" s="19">
        <v>2018</v>
      </c>
      <c r="I518" s="2" t="s">
        <v>3</v>
      </c>
    </row>
    <row r="519" spans="2:9" x14ac:dyDescent="0.25">
      <c r="B519" s="2" t="s">
        <v>345</v>
      </c>
      <c r="C519" s="3">
        <v>17</v>
      </c>
      <c r="D519" s="1" t="s">
        <v>870</v>
      </c>
      <c r="E519" s="3">
        <v>2018</v>
      </c>
      <c r="F519" s="3">
        <v>6</v>
      </c>
      <c r="G519" s="3" t="s">
        <v>863</v>
      </c>
      <c r="H519" s="19">
        <v>2018</v>
      </c>
      <c r="I519" s="2" t="s">
        <v>2</v>
      </c>
    </row>
    <row r="520" spans="2:9" x14ac:dyDescent="0.25">
      <c r="B520" s="2" t="s">
        <v>346</v>
      </c>
      <c r="C520" s="3">
        <v>17</v>
      </c>
      <c r="D520" s="1" t="s">
        <v>870</v>
      </c>
      <c r="E520" s="3">
        <v>2018</v>
      </c>
      <c r="F520" s="3">
        <v>30</v>
      </c>
      <c r="G520" s="3" t="s">
        <v>858</v>
      </c>
      <c r="H520" s="19">
        <v>2017</v>
      </c>
      <c r="I520" s="2" t="s">
        <v>3</v>
      </c>
    </row>
    <row r="521" spans="2:9" x14ac:dyDescent="0.25">
      <c r="B521" s="2" t="s">
        <v>347</v>
      </c>
      <c r="C521" s="3">
        <v>17</v>
      </c>
      <c r="D521" s="1" t="s">
        <v>870</v>
      </c>
      <c r="E521" s="3">
        <v>2018</v>
      </c>
      <c r="F521" s="3">
        <v>3</v>
      </c>
      <c r="G521" s="3" t="s">
        <v>870</v>
      </c>
      <c r="H521" s="19">
        <v>2017</v>
      </c>
      <c r="I521" s="2" t="s">
        <v>3</v>
      </c>
    </row>
    <row r="522" spans="2:9" x14ac:dyDescent="0.25">
      <c r="B522" s="2" t="s">
        <v>348</v>
      </c>
      <c r="C522" s="3">
        <v>17</v>
      </c>
      <c r="D522" s="1" t="s">
        <v>870</v>
      </c>
      <c r="E522" s="3">
        <v>2018</v>
      </c>
      <c r="F522" s="3">
        <v>15</v>
      </c>
      <c r="G522" s="3" t="s">
        <v>863</v>
      </c>
      <c r="H522" s="19">
        <v>2013</v>
      </c>
      <c r="I522" s="2" t="s">
        <v>2</v>
      </c>
    </row>
    <row r="523" spans="2:9" x14ac:dyDescent="0.25">
      <c r="B523" s="2" t="s">
        <v>349</v>
      </c>
      <c r="C523" s="3">
        <v>17</v>
      </c>
      <c r="D523" s="1" t="s">
        <v>870</v>
      </c>
      <c r="E523" s="3">
        <v>2018</v>
      </c>
      <c r="F523" s="3">
        <v>31</v>
      </c>
      <c r="G523" s="3" t="s">
        <v>866</v>
      </c>
      <c r="H523" s="19">
        <v>2018</v>
      </c>
      <c r="I523" s="2" t="s">
        <v>3</v>
      </c>
    </row>
    <row r="524" spans="2:9" x14ac:dyDescent="0.25">
      <c r="B524" s="2" t="s">
        <v>350</v>
      </c>
      <c r="C524" s="3">
        <v>17</v>
      </c>
      <c r="D524" s="1" t="s">
        <v>870</v>
      </c>
      <c r="E524" s="3">
        <v>2018</v>
      </c>
      <c r="F524" s="3">
        <v>21</v>
      </c>
      <c r="G524" s="3" t="s">
        <v>869</v>
      </c>
      <c r="H524" s="19">
        <v>1969</v>
      </c>
      <c r="I524" s="2" t="s">
        <v>2</v>
      </c>
    </row>
    <row r="525" spans="2:9" x14ac:dyDescent="0.25">
      <c r="B525" s="2" t="s">
        <v>351</v>
      </c>
      <c r="C525" s="3">
        <v>17</v>
      </c>
      <c r="D525" s="1" t="s">
        <v>870</v>
      </c>
      <c r="E525" s="3">
        <v>2018</v>
      </c>
      <c r="F525" s="3">
        <v>2</v>
      </c>
      <c r="G525" s="3" t="s">
        <v>867</v>
      </c>
      <c r="H525" s="19">
        <v>1950</v>
      </c>
      <c r="I525" s="2" t="s">
        <v>2</v>
      </c>
    </row>
    <row r="526" spans="2:9" x14ac:dyDescent="0.25">
      <c r="B526" s="2" t="s">
        <v>352</v>
      </c>
      <c r="C526" s="3">
        <v>17</v>
      </c>
      <c r="D526" s="1" t="s">
        <v>870</v>
      </c>
      <c r="E526" s="3">
        <v>2018</v>
      </c>
      <c r="F526" s="3">
        <v>2</v>
      </c>
      <c r="G526" s="3" t="s">
        <v>856</v>
      </c>
      <c r="H526" s="19">
        <v>2000</v>
      </c>
      <c r="I526" s="2" t="s">
        <v>3</v>
      </c>
    </row>
    <row r="527" spans="2:9" x14ac:dyDescent="0.25">
      <c r="B527" s="2" t="s">
        <v>353</v>
      </c>
      <c r="C527" s="3">
        <v>17</v>
      </c>
      <c r="D527" s="1" t="s">
        <v>870</v>
      </c>
      <c r="E527" s="3">
        <v>2018</v>
      </c>
      <c r="F527" s="3">
        <v>19</v>
      </c>
      <c r="G527" s="3" t="s">
        <v>865</v>
      </c>
      <c r="H527" s="19">
        <v>1979</v>
      </c>
      <c r="I527" s="2" t="s">
        <v>2</v>
      </c>
    </row>
    <row r="528" spans="2:9" x14ac:dyDescent="0.25">
      <c r="B528" s="2" t="s">
        <v>354</v>
      </c>
      <c r="C528" s="3">
        <v>17</v>
      </c>
      <c r="D528" s="1" t="s">
        <v>870</v>
      </c>
      <c r="E528" s="3">
        <v>2018</v>
      </c>
      <c r="F528" s="3">
        <v>26</v>
      </c>
      <c r="G528" s="3" t="s">
        <v>863</v>
      </c>
      <c r="H528" s="19">
        <v>2018</v>
      </c>
      <c r="I528" s="2" t="s">
        <v>3</v>
      </c>
    </row>
    <row r="529" spans="2:9" x14ac:dyDescent="0.25">
      <c r="B529" s="2" t="s">
        <v>355</v>
      </c>
      <c r="C529" s="3">
        <v>17</v>
      </c>
      <c r="D529" s="1" t="s">
        <v>870</v>
      </c>
      <c r="E529" s="3">
        <v>2018</v>
      </c>
      <c r="F529" s="3">
        <v>18</v>
      </c>
      <c r="G529" s="3" t="s">
        <v>861</v>
      </c>
      <c r="H529" s="38">
        <v>1967</v>
      </c>
      <c r="I529" s="2" t="s">
        <v>3</v>
      </c>
    </row>
    <row r="530" spans="2:9" x14ac:dyDescent="0.25">
      <c r="B530" s="2" t="s">
        <v>356</v>
      </c>
      <c r="C530" s="3">
        <v>17</v>
      </c>
      <c r="D530" s="1" t="s">
        <v>870</v>
      </c>
      <c r="E530" s="3">
        <v>2018</v>
      </c>
      <c r="F530" s="3">
        <v>1</v>
      </c>
      <c r="G530" s="3" t="s">
        <v>867</v>
      </c>
      <c r="H530" s="38">
        <v>1933</v>
      </c>
      <c r="I530" s="2" t="s">
        <v>3</v>
      </c>
    </row>
    <row r="531" spans="2:9" x14ac:dyDescent="0.25">
      <c r="B531" s="2" t="s">
        <v>357</v>
      </c>
      <c r="C531" s="3">
        <v>17</v>
      </c>
      <c r="D531" s="1" t="s">
        <v>870</v>
      </c>
      <c r="E531" s="3">
        <v>2018</v>
      </c>
      <c r="F531" s="3">
        <v>8</v>
      </c>
      <c r="G531" s="3" t="s">
        <v>858</v>
      </c>
      <c r="H531" s="38">
        <v>1998</v>
      </c>
      <c r="I531" s="2" t="s">
        <v>3</v>
      </c>
    </row>
    <row r="532" spans="2:9" x14ac:dyDescent="0.25">
      <c r="B532" s="2" t="s">
        <v>358</v>
      </c>
      <c r="C532" s="3">
        <v>17</v>
      </c>
      <c r="D532" s="1" t="s">
        <v>870</v>
      </c>
      <c r="E532" s="3">
        <v>2018</v>
      </c>
      <c r="F532" s="3">
        <v>9</v>
      </c>
      <c r="G532" s="3" t="s">
        <v>863</v>
      </c>
      <c r="H532" s="38">
        <v>2015</v>
      </c>
      <c r="I532" s="2" t="s">
        <v>3</v>
      </c>
    </row>
    <row r="533" spans="2:9" x14ac:dyDescent="0.25">
      <c r="B533" s="2" t="s">
        <v>359</v>
      </c>
      <c r="C533" s="3">
        <v>17</v>
      </c>
      <c r="D533" s="1" t="s">
        <v>870</v>
      </c>
      <c r="E533" s="3">
        <v>2018</v>
      </c>
      <c r="F533" s="3">
        <v>10</v>
      </c>
      <c r="G533" s="3" t="s">
        <v>870</v>
      </c>
      <c r="H533" s="38">
        <v>1990</v>
      </c>
      <c r="I533" s="2" t="s">
        <v>2</v>
      </c>
    </row>
    <row r="534" spans="2:9" x14ac:dyDescent="0.25">
      <c r="B534" s="2" t="s">
        <v>360</v>
      </c>
      <c r="C534" s="3">
        <v>17</v>
      </c>
      <c r="D534" s="1" t="s">
        <v>870</v>
      </c>
      <c r="E534" s="3">
        <v>2018</v>
      </c>
      <c r="F534" s="3">
        <v>11</v>
      </c>
      <c r="G534" s="3" t="s">
        <v>863</v>
      </c>
      <c r="H534" s="19">
        <v>2018</v>
      </c>
      <c r="I534" s="2" t="s">
        <v>2</v>
      </c>
    </row>
    <row r="535" spans="2:9" x14ac:dyDescent="0.25">
      <c r="B535" s="2" t="s">
        <v>361</v>
      </c>
      <c r="C535" s="3">
        <v>17</v>
      </c>
      <c r="D535" s="1" t="s">
        <v>870</v>
      </c>
      <c r="E535" s="3">
        <v>2018</v>
      </c>
      <c r="F535" s="3">
        <v>12</v>
      </c>
      <c r="G535" s="3" t="s">
        <v>870</v>
      </c>
      <c r="H535" s="19">
        <v>2018</v>
      </c>
      <c r="I535" s="2" t="s">
        <v>3</v>
      </c>
    </row>
    <row r="536" spans="2:9" x14ac:dyDescent="0.25">
      <c r="B536" s="2" t="s">
        <v>362</v>
      </c>
      <c r="C536" s="3">
        <v>17</v>
      </c>
      <c r="D536" s="1" t="s">
        <v>870</v>
      </c>
      <c r="E536" s="3">
        <v>2018</v>
      </c>
      <c r="F536" s="3">
        <v>13</v>
      </c>
      <c r="G536" s="3" t="s">
        <v>867</v>
      </c>
      <c r="H536" s="19">
        <v>2018</v>
      </c>
      <c r="I536" s="2" t="s">
        <v>3</v>
      </c>
    </row>
    <row r="537" spans="2:9" x14ac:dyDescent="0.25">
      <c r="B537" s="2" t="s">
        <v>363</v>
      </c>
      <c r="C537" s="3">
        <v>17</v>
      </c>
      <c r="D537" s="1" t="s">
        <v>870</v>
      </c>
      <c r="E537" s="3">
        <v>2018</v>
      </c>
      <c r="F537" s="3">
        <v>21</v>
      </c>
      <c r="G537" s="3" t="s">
        <v>861</v>
      </c>
      <c r="H537" s="38">
        <v>1933</v>
      </c>
      <c r="I537" s="2" t="s">
        <v>3</v>
      </c>
    </row>
    <row r="538" spans="2:9" x14ac:dyDescent="0.25">
      <c r="B538" s="2" t="s">
        <v>364</v>
      </c>
      <c r="C538" s="3">
        <v>17</v>
      </c>
      <c r="D538" s="1" t="s">
        <v>870</v>
      </c>
      <c r="E538" s="3">
        <v>2018</v>
      </c>
      <c r="F538" s="3">
        <v>25</v>
      </c>
      <c r="G538" s="3" t="s">
        <v>861</v>
      </c>
      <c r="H538" s="38">
        <v>1942</v>
      </c>
      <c r="I538" s="2" t="s">
        <v>2</v>
      </c>
    </row>
    <row r="539" spans="2:9" x14ac:dyDescent="0.25">
      <c r="B539" s="2" t="s">
        <v>365</v>
      </c>
      <c r="C539" s="3">
        <v>25</v>
      </c>
      <c r="D539" s="1" t="s">
        <v>870</v>
      </c>
      <c r="E539" s="3">
        <v>2018</v>
      </c>
      <c r="F539" s="3">
        <v>24</v>
      </c>
      <c r="G539" s="3" t="s">
        <v>864</v>
      </c>
      <c r="H539" s="38">
        <v>1956</v>
      </c>
      <c r="I539" s="2" t="s">
        <v>3</v>
      </c>
    </row>
    <row r="540" spans="2:9" x14ac:dyDescent="0.25">
      <c r="B540" s="2" t="s">
        <v>366</v>
      </c>
      <c r="C540" s="3">
        <v>25</v>
      </c>
      <c r="D540" s="1" t="s">
        <v>870</v>
      </c>
      <c r="E540" s="3">
        <v>2018</v>
      </c>
      <c r="F540" s="3">
        <v>18</v>
      </c>
      <c r="G540" s="3" t="s">
        <v>870</v>
      </c>
      <c r="H540" s="19">
        <v>2018</v>
      </c>
      <c r="I540" s="2" t="s">
        <v>2</v>
      </c>
    </row>
    <row r="541" spans="2:9" x14ac:dyDescent="0.25">
      <c r="B541" s="2" t="s">
        <v>367</v>
      </c>
      <c r="C541" s="3">
        <v>25</v>
      </c>
      <c r="D541" s="1" t="s">
        <v>870</v>
      </c>
      <c r="E541" s="3">
        <v>2018</v>
      </c>
      <c r="F541" s="3">
        <v>15</v>
      </c>
      <c r="G541" s="3" t="s">
        <v>864</v>
      </c>
      <c r="H541" s="19">
        <v>2018</v>
      </c>
      <c r="I541" s="2" t="s">
        <v>2</v>
      </c>
    </row>
    <row r="542" spans="2:9" x14ac:dyDescent="0.25">
      <c r="B542" s="2" t="s">
        <v>368</v>
      </c>
      <c r="C542" s="3">
        <v>25</v>
      </c>
      <c r="D542" s="1" t="s">
        <v>870</v>
      </c>
      <c r="E542" s="3">
        <v>2018</v>
      </c>
      <c r="F542" s="3">
        <v>10</v>
      </c>
      <c r="G542" s="3" t="s">
        <v>863</v>
      </c>
      <c r="H542" s="19">
        <v>2018</v>
      </c>
      <c r="I542" s="2" t="s">
        <v>3</v>
      </c>
    </row>
    <row r="543" spans="2:9" x14ac:dyDescent="0.25">
      <c r="B543" s="2" t="s">
        <v>369</v>
      </c>
      <c r="C543" s="3">
        <v>25</v>
      </c>
      <c r="D543" s="1" t="s">
        <v>870</v>
      </c>
      <c r="E543" s="3">
        <v>2018</v>
      </c>
      <c r="F543" s="3">
        <v>22</v>
      </c>
      <c r="G543" s="3" t="s">
        <v>869</v>
      </c>
      <c r="H543" s="38">
        <v>2006</v>
      </c>
      <c r="I543" s="2" t="s">
        <v>2</v>
      </c>
    </row>
    <row r="544" spans="2:9" x14ac:dyDescent="0.25">
      <c r="B544" s="2" t="s">
        <v>370</v>
      </c>
      <c r="C544" s="3">
        <v>26</v>
      </c>
      <c r="D544" s="1" t="s">
        <v>870</v>
      </c>
      <c r="E544" s="3">
        <v>2018</v>
      </c>
      <c r="F544" s="3">
        <v>15</v>
      </c>
      <c r="G544" s="3" t="s">
        <v>863</v>
      </c>
      <c r="H544" s="19">
        <v>2018</v>
      </c>
      <c r="I544" s="2" t="s">
        <v>2</v>
      </c>
    </row>
    <row r="545" spans="2:9" x14ac:dyDescent="0.25">
      <c r="B545" s="2" t="s">
        <v>371</v>
      </c>
      <c r="C545" s="3">
        <v>26</v>
      </c>
      <c r="D545" s="1" t="s">
        <v>870</v>
      </c>
      <c r="E545" s="3">
        <v>2018</v>
      </c>
      <c r="F545" s="3">
        <v>8</v>
      </c>
      <c r="G545" s="3" t="s">
        <v>870</v>
      </c>
      <c r="H545" s="19">
        <v>2018</v>
      </c>
      <c r="I545" s="2" t="s">
        <v>3</v>
      </c>
    </row>
    <row r="546" spans="2:9" x14ac:dyDescent="0.25">
      <c r="B546" s="2" t="s">
        <v>372</v>
      </c>
      <c r="C546" s="3">
        <v>26</v>
      </c>
      <c r="D546" s="1" t="s">
        <v>870</v>
      </c>
      <c r="E546" s="3">
        <v>2018</v>
      </c>
      <c r="F546" s="3">
        <v>27</v>
      </c>
      <c r="G546" s="3" t="s">
        <v>863</v>
      </c>
      <c r="H546" s="19">
        <v>2018</v>
      </c>
      <c r="I546" s="2" t="s">
        <v>3</v>
      </c>
    </row>
    <row r="547" spans="2:9" x14ac:dyDescent="0.25">
      <c r="B547" s="2" t="s">
        <v>373</v>
      </c>
      <c r="C547" s="3">
        <v>26</v>
      </c>
      <c r="D547" s="1" t="s">
        <v>870</v>
      </c>
      <c r="E547" s="3">
        <v>2018</v>
      </c>
      <c r="F547" s="3">
        <v>16</v>
      </c>
      <c r="G547" s="3" t="s">
        <v>869</v>
      </c>
      <c r="H547" s="19">
        <v>2018</v>
      </c>
      <c r="I547" s="2" t="s">
        <v>3</v>
      </c>
    </row>
    <row r="548" spans="2:9" x14ac:dyDescent="0.25">
      <c r="B548" s="2" t="s">
        <v>374</v>
      </c>
      <c r="C548" s="3">
        <v>29</v>
      </c>
      <c r="D548" s="1" t="s">
        <v>870</v>
      </c>
      <c r="E548" s="3">
        <v>2018</v>
      </c>
      <c r="F548" s="3">
        <v>29</v>
      </c>
      <c r="G548" s="3" t="s">
        <v>863</v>
      </c>
      <c r="H548" s="19">
        <v>2018</v>
      </c>
      <c r="I548" s="2" t="s">
        <v>2</v>
      </c>
    </row>
    <row r="549" spans="2:9" x14ac:dyDescent="0.25">
      <c r="B549" s="2" t="s">
        <v>375</v>
      </c>
      <c r="C549" s="3">
        <v>29</v>
      </c>
      <c r="D549" s="1" t="s">
        <v>870</v>
      </c>
      <c r="E549" s="3">
        <v>2018</v>
      </c>
      <c r="F549" s="3">
        <v>9</v>
      </c>
      <c r="G549" s="3" t="s">
        <v>863</v>
      </c>
      <c r="H549" s="19">
        <v>2018</v>
      </c>
      <c r="I549" s="2" t="s">
        <v>3</v>
      </c>
    </row>
    <row r="550" spans="2:9" x14ac:dyDescent="0.25">
      <c r="B550" s="2" t="s">
        <v>376</v>
      </c>
      <c r="C550" s="3">
        <v>29</v>
      </c>
      <c r="D550" s="1" t="s">
        <v>870</v>
      </c>
      <c r="E550" s="3">
        <v>2018</v>
      </c>
      <c r="F550" s="3">
        <v>29</v>
      </c>
      <c r="G550" s="3" t="s">
        <v>863</v>
      </c>
      <c r="H550" s="19">
        <v>2018</v>
      </c>
      <c r="I550" s="2" t="s">
        <v>2</v>
      </c>
    </row>
    <row r="551" spans="2:9" x14ac:dyDescent="0.25">
      <c r="B551" s="2" t="s">
        <v>377</v>
      </c>
      <c r="C551" s="3">
        <v>29</v>
      </c>
      <c r="D551" s="1" t="s">
        <v>870</v>
      </c>
      <c r="E551" s="3">
        <v>2018</v>
      </c>
      <c r="F551" s="3">
        <v>22</v>
      </c>
      <c r="G551" s="3" t="s">
        <v>869</v>
      </c>
      <c r="H551" s="19">
        <v>2018</v>
      </c>
      <c r="I551" s="2" t="s">
        <v>2</v>
      </c>
    </row>
    <row r="552" spans="2:9" x14ac:dyDescent="0.25">
      <c r="B552" s="2" t="s">
        <v>378</v>
      </c>
      <c r="C552" s="3">
        <v>29</v>
      </c>
      <c r="D552" s="1" t="s">
        <v>870</v>
      </c>
      <c r="E552" s="3">
        <v>2018</v>
      </c>
      <c r="F552" s="3">
        <v>19</v>
      </c>
      <c r="G552" s="3" t="s">
        <v>863</v>
      </c>
      <c r="H552" s="19">
        <v>2018</v>
      </c>
      <c r="I552" s="2" t="s">
        <v>2</v>
      </c>
    </row>
    <row r="553" spans="2:9" x14ac:dyDescent="0.25">
      <c r="B553" s="2" t="s">
        <v>379</v>
      </c>
      <c r="C553" s="3">
        <v>30</v>
      </c>
      <c r="D553" s="1" t="s">
        <v>870</v>
      </c>
      <c r="E553" s="3">
        <v>2018</v>
      </c>
      <c r="F553" s="3">
        <v>3</v>
      </c>
      <c r="G553" s="3" t="s">
        <v>858</v>
      </c>
      <c r="H553" s="38">
        <v>2009</v>
      </c>
      <c r="I553" s="2" t="s">
        <v>3</v>
      </c>
    </row>
    <row r="554" spans="2:9" x14ac:dyDescent="0.25">
      <c r="B554" s="2" t="s">
        <v>380</v>
      </c>
      <c r="C554" s="3">
        <v>30</v>
      </c>
      <c r="D554" s="1" t="s">
        <v>870</v>
      </c>
      <c r="E554" s="3">
        <v>2018</v>
      </c>
      <c r="F554" s="3">
        <v>3</v>
      </c>
      <c r="G554" s="3" t="s">
        <v>863</v>
      </c>
      <c r="H554" s="19">
        <v>2018</v>
      </c>
      <c r="I554" s="2" t="s">
        <v>2</v>
      </c>
    </row>
    <row r="555" spans="2:9" x14ac:dyDescent="0.25">
      <c r="B555" s="2" t="s">
        <v>381</v>
      </c>
      <c r="C555" s="3">
        <v>31</v>
      </c>
      <c r="D555" s="1" t="s">
        <v>870</v>
      </c>
      <c r="E555" s="3">
        <v>2018</v>
      </c>
      <c r="F555" s="3">
        <v>6</v>
      </c>
      <c r="G555" s="3" t="s">
        <v>867</v>
      </c>
      <c r="H555" s="38">
        <v>1959</v>
      </c>
      <c r="I555" s="2" t="s">
        <v>2</v>
      </c>
    </row>
    <row r="556" spans="2:9" x14ac:dyDescent="0.25">
      <c r="B556" s="2" t="s">
        <v>382</v>
      </c>
      <c r="C556" s="3">
        <v>5</v>
      </c>
      <c r="D556" s="1" t="s">
        <v>858</v>
      </c>
      <c r="E556" s="3">
        <v>2018</v>
      </c>
      <c r="F556" s="3">
        <v>8</v>
      </c>
      <c r="G556" s="3" t="s">
        <v>864</v>
      </c>
      <c r="H556" s="19">
        <v>2018</v>
      </c>
      <c r="I556" s="2" t="s">
        <v>2</v>
      </c>
    </row>
    <row r="557" spans="2:9" x14ac:dyDescent="0.25">
      <c r="B557" s="2" t="s">
        <v>383</v>
      </c>
      <c r="C557" s="3">
        <v>5</v>
      </c>
      <c r="D557" s="1" t="s">
        <v>858</v>
      </c>
      <c r="E557" s="3">
        <v>2018</v>
      </c>
      <c r="F557" s="3">
        <v>21</v>
      </c>
      <c r="G557" s="3" t="s">
        <v>867</v>
      </c>
      <c r="H557" s="19">
        <v>2018</v>
      </c>
      <c r="I557" s="2" t="s">
        <v>2</v>
      </c>
    </row>
    <row r="558" spans="2:9" x14ac:dyDescent="0.25">
      <c r="B558" s="2" t="s">
        <v>384</v>
      </c>
      <c r="C558" s="3">
        <v>5</v>
      </c>
      <c r="D558" s="1" t="s">
        <v>858</v>
      </c>
      <c r="E558" s="3">
        <v>2018</v>
      </c>
      <c r="F558" s="3">
        <v>2</v>
      </c>
      <c r="G558" s="3" t="s">
        <v>866</v>
      </c>
      <c r="H558" s="19">
        <v>2016</v>
      </c>
      <c r="I558" s="2" t="s">
        <v>2</v>
      </c>
    </row>
    <row r="559" spans="2:9" x14ac:dyDescent="0.25">
      <c r="B559" s="2" t="s">
        <v>385</v>
      </c>
      <c r="C559" s="3">
        <v>5</v>
      </c>
      <c r="D559" s="1" t="s">
        <v>858</v>
      </c>
      <c r="E559" s="3">
        <v>2018</v>
      </c>
      <c r="F559" s="3">
        <v>21</v>
      </c>
      <c r="G559" s="3" t="s">
        <v>870</v>
      </c>
      <c r="H559" s="19">
        <v>2018</v>
      </c>
      <c r="I559" s="2" t="s">
        <v>3</v>
      </c>
    </row>
    <row r="560" spans="2:9" x14ac:dyDescent="0.25">
      <c r="B560" s="2" t="s">
        <v>386</v>
      </c>
      <c r="C560" s="3">
        <v>6</v>
      </c>
      <c r="D560" s="1" t="s">
        <v>858</v>
      </c>
      <c r="E560" s="3">
        <v>2018</v>
      </c>
      <c r="F560" s="3">
        <v>6</v>
      </c>
      <c r="G560" s="3" t="s">
        <v>863</v>
      </c>
      <c r="H560" s="19">
        <v>2017</v>
      </c>
      <c r="I560" s="2" t="s">
        <v>2</v>
      </c>
    </row>
    <row r="561" spans="2:9" x14ac:dyDescent="0.25">
      <c r="B561" s="2" t="s">
        <v>387</v>
      </c>
      <c r="C561" s="3">
        <v>7</v>
      </c>
      <c r="D561" s="1" t="s">
        <v>858</v>
      </c>
      <c r="E561" s="3">
        <v>2018</v>
      </c>
      <c r="F561" s="3">
        <v>26</v>
      </c>
      <c r="G561" s="3" t="s">
        <v>870</v>
      </c>
      <c r="H561" s="19">
        <v>2018</v>
      </c>
      <c r="I561" s="2" t="s">
        <v>2</v>
      </c>
    </row>
    <row r="562" spans="2:9" x14ac:dyDescent="0.25">
      <c r="B562" s="2" t="s">
        <v>388</v>
      </c>
      <c r="C562" s="3">
        <v>7</v>
      </c>
      <c r="D562" s="1" t="s">
        <v>858</v>
      </c>
      <c r="E562" s="3">
        <v>2018</v>
      </c>
      <c r="F562" s="3">
        <v>11</v>
      </c>
      <c r="G562" s="3" t="s">
        <v>858</v>
      </c>
      <c r="H562" s="19">
        <v>2018</v>
      </c>
      <c r="I562" s="2" t="s">
        <v>3</v>
      </c>
    </row>
    <row r="563" spans="2:9" x14ac:dyDescent="0.25">
      <c r="B563" s="2" t="s">
        <v>389</v>
      </c>
      <c r="C563" s="3">
        <v>8</v>
      </c>
      <c r="D563" s="1" t="s">
        <v>858</v>
      </c>
      <c r="E563" s="3">
        <v>2018</v>
      </c>
      <c r="F563" s="3">
        <v>17</v>
      </c>
      <c r="G563" s="3" t="s">
        <v>857</v>
      </c>
      <c r="H563" s="19">
        <v>2017</v>
      </c>
      <c r="I563" s="2" t="s">
        <v>3</v>
      </c>
    </row>
    <row r="564" spans="2:9" x14ac:dyDescent="0.25">
      <c r="B564" s="2" t="s">
        <v>390</v>
      </c>
      <c r="C564" s="3">
        <v>9</v>
      </c>
      <c r="D564" s="1" t="s">
        <v>858</v>
      </c>
      <c r="E564" s="3">
        <v>2018</v>
      </c>
      <c r="F564" s="3">
        <v>2</v>
      </c>
      <c r="G564" s="3" t="s">
        <v>870</v>
      </c>
      <c r="H564" s="19">
        <v>2018</v>
      </c>
      <c r="I564" s="2" t="s">
        <v>3</v>
      </c>
    </row>
    <row r="565" spans="2:9" x14ac:dyDescent="0.25">
      <c r="B565" s="2" t="s">
        <v>391</v>
      </c>
      <c r="C565" s="3">
        <v>12</v>
      </c>
      <c r="D565" s="1" t="s">
        <v>858</v>
      </c>
      <c r="E565" s="3">
        <v>2018</v>
      </c>
      <c r="F565" s="3">
        <v>17</v>
      </c>
      <c r="G565" s="3" t="s">
        <v>869</v>
      </c>
      <c r="H565" s="19">
        <v>2018</v>
      </c>
      <c r="I565" s="2" t="s">
        <v>3</v>
      </c>
    </row>
    <row r="566" spans="2:9" x14ac:dyDescent="0.25">
      <c r="B566" s="2" t="s">
        <v>392</v>
      </c>
      <c r="C566" s="3">
        <v>12</v>
      </c>
      <c r="D566" s="1" t="s">
        <v>858</v>
      </c>
      <c r="E566" s="3">
        <v>2018</v>
      </c>
      <c r="F566" s="3">
        <v>10</v>
      </c>
      <c r="G566" s="3" t="s">
        <v>863</v>
      </c>
      <c r="H566" s="19">
        <v>2018</v>
      </c>
      <c r="I566" s="2" t="s">
        <v>3</v>
      </c>
    </row>
    <row r="567" spans="2:9" x14ac:dyDescent="0.25">
      <c r="B567" s="2" t="s">
        <v>393</v>
      </c>
      <c r="C567" s="3">
        <v>13</v>
      </c>
      <c r="D567" s="1" t="s">
        <v>858</v>
      </c>
      <c r="E567" s="3">
        <v>2018</v>
      </c>
      <c r="F567" s="3">
        <v>27</v>
      </c>
      <c r="G567" s="3" t="s">
        <v>863</v>
      </c>
      <c r="H567" s="19">
        <v>2018</v>
      </c>
      <c r="I567" s="2" t="s">
        <v>2</v>
      </c>
    </row>
    <row r="568" spans="2:9" x14ac:dyDescent="0.25">
      <c r="B568" s="2" t="s">
        <v>394</v>
      </c>
      <c r="C568" s="3">
        <v>13</v>
      </c>
      <c r="D568" s="1" t="s">
        <v>858</v>
      </c>
      <c r="E568" s="3">
        <v>2018</v>
      </c>
      <c r="F568" s="3">
        <v>29</v>
      </c>
      <c r="G568" s="3" t="s">
        <v>870</v>
      </c>
      <c r="H568" s="19">
        <v>2018</v>
      </c>
      <c r="I568" s="2" t="s">
        <v>3</v>
      </c>
    </row>
    <row r="569" spans="2:9" x14ac:dyDescent="0.25">
      <c r="B569" s="2" t="s">
        <v>395</v>
      </c>
      <c r="C569" s="3">
        <v>13</v>
      </c>
      <c r="D569" s="1" t="s">
        <v>858</v>
      </c>
      <c r="E569" s="3">
        <v>2018</v>
      </c>
      <c r="F569" s="3">
        <v>29</v>
      </c>
      <c r="G569" s="3" t="s">
        <v>868</v>
      </c>
      <c r="H569" s="19">
        <v>2016</v>
      </c>
      <c r="I569" s="2" t="s">
        <v>3</v>
      </c>
    </row>
    <row r="570" spans="2:9" x14ac:dyDescent="0.25">
      <c r="B570" s="2" t="s">
        <v>396</v>
      </c>
      <c r="C570" s="3">
        <v>20</v>
      </c>
      <c r="D570" s="1" t="s">
        <v>858</v>
      </c>
      <c r="E570" s="3">
        <v>2018</v>
      </c>
      <c r="F570" s="3">
        <v>21</v>
      </c>
      <c r="G570" s="3" t="s">
        <v>863</v>
      </c>
      <c r="H570" s="19">
        <v>2018</v>
      </c>
      <c r="I570" s="2" t="s">
        <v>3</v>
      </c>
    </row>
    <row r="571" spans="2:9" x14ac:dyDescent="0.25">
      <c r="B571" s="2" t="s">
        <v>397</v>
      </c>
      <c r="C571" s="3">
        <v>20</v>
      </c>
      <c r="D571" s="1" t="s">
        <v>858</v>
      </c>
      <c r="E571" s="3">
        <v>2018</v>
      </c>
      <c r="F571" s="3">
        <v>17</v>
      </c>
      <c r="G571" s="3" t="s">
        <v>867</v>
      </c>
      <c r="H571" s="19">
        <v>2017</v>
      </c>
      <c r="I571" s="2" t="s">
        <v>3</v>
      </c>
    </row>
    <row r="572" spans="2:9" x14ac:dyDescent="0.25">
      <c r="B572" s="2" t="s">
        <v>398</v>
      </c>
      <c r="C572" s="3">
        <v>20</v>
      </c>
      <c r="D572" s="1" t="s">
        <v>858</v>
      </c>
      <c r="E572" s="3">
        <v>2018</v>
      </c>
      <c r="F572" s="3">
        <v>19</v>
      </c>
      <c r="G572" s="3" t="s">
        <v>870</v>
      </c>
      <c r="H572" s="19">
        <v>2018</v>
      </c>
      <c r="I572" s="2" t="s">
        <v>3</v>
      </c>
    </row>
    <row r="573" spans="2:9" x14ac:dyDescent="0.25">
      <c r="B573" s="2" t="s">
        <v>399</v>
      </c>
      <c r="C573" s="3">
        <v>22</v>
      </c>
      <c r="D573" s="1" t="s">
        <v>858</v>
      </c>
      <c r="E573" s="3">
        <v>2018</v>
      </c>
      <c r="F573" s="3">
        <v>5</v>
      </c>
      <c r="G573" s="3" t="s">
        <v>867</v>
      </c>
      <c r="H573" s="19">
        <v>2002</v>
      </c>
      <c r="I573" s="2" t="s">
        <v>2</v>
      </c>
    </row>
    <row r="574" spans="2:9" x14ac:dyDescent="0.25">
      <c r="B574" s="2" t="s">
        <v>400</v>
      </c>
      <c r="C574" s="3">
        <v>22</v>
      </c>
      <c r="D574" s="1" t="s">
        <v>858</v>
      </c>
      <c r="E574" s="3">
        <v>2018</v>
      </c>
      <c r="F574" s="3">
        <v>16</v>
      </c>
      <c r="G574" s="3" t="s">
        <v>857</v>
      </c>
      <c r="H574" s="19">
        <v>2006</v>
      </c>
      <c r="I574" s="2" t="s">
        <v>3</v>
      </c>
    </row>
    <row r="575" spans="2:9" x14ac:dyDescent="0.25">
      <c r="B575" s="2" t="s">
        <v>401</v>
      </c>
      <c r="C575" s="3">
        <v>22</v>
      </c>
      <c r="D575" s="1" t="s">
        <v>858</v>
      </c>
      <c r="E575" s="3">
        <v>2018</v>
      </c>
      <c r="F575" s="3">
        <v>1</v>
      </c>
      <c r="G575" s="3" t="s">
        <v>866</v>
      </c>
      <c r="H575" s="19">
        <v>2003</v>
      </c>
      <c r="I575" s="2" t="s">
        <v>3</v>
      </c>
    </row>
    <row r="576" spans="2:9" x14ac:dyDescent="0.25">
      <c r="B576" s="2" t="s">
        <v>402</v>
      </c>
      <c r="C576" s="3">
        <v>22</v>
      </c>
      <c r="D576" s="1" t="s">
        <v>858</v>
      </c>
      <c r="E576" s="3">
        <v>2018</v>
      </c>
      <c r="F576" s="3">
        <v>18</v>
      </c>
      <c r="G576" s="3" t="s">
        <v>861</v>
      </c>
      <c r="H576" s="19">
        <v>2017</v>
      </c>
      <c r="I576" s="2" t="s">
        <v>3</v>
      </c>
    </row>
    <row r="577" spans="2:9" x14ac:dyDescent="0.25">
      <c r="B577" s="2" t="s">
        <v>403</v>
      </c>
      <c r="C577" s="3">
        <v>26</v>
      </c>
      <c r="D577" s="1" t="s">
        <v>858</v>
      </c>
      <c r="E577" s="3">
        <v>2018</v>
      </c>
      <c r="F577" s="3">
        <v>8</v>
      </c>
      <c r="G577" s="3" t="s">
        <v>865</v>
      </c>
      <c r="H577" s="19">
        <v>2015</v>
      </c>
      <c r="I577" s="2" t="s">
        <v>3</v>
      </c>
    </row>
    <row r="578" spans="2:9" x14ac:dyDescent="0.25">
      <c r="B578" s="2" t="s">
        <v>404</v>
      </c>
      <c r="C578" s="3">
        <v>26</v>
      </c>
      <c r="D578" s="1" t="s">
        <v>858</v>
      </c>
      <c r="E578" s="3">
        <v>2018</v>
      </c>
      <c r="F578" s="3">
        <v>8</v>
      </c>
      <c r="G578" s="3" t="s">
        <v>865</v>
      </c>
      <c r="H578" s="19">
        <v>2015</v>
      </c>
      <c r="I578" s="2" t="s">
        <v>3</v>
      </c>
    </row>
    <row r="579" spans="2:9" x14ac:dyDescent="0.25">
      <c r="B579" s="2" t="s">
        <v>405</v>
      </c>
      <c r="C579" s="3">
        <v>28</v>
      </c>
      <c r="D579" s="1" t="s">
        <v>858</v>
      </c>
      <c r="E579" s="3">
        <v>2018</v>
      </c>
      <c r="F579" s="3">
        <v>30</v>
      </c>
      <c r="G579" s="3" t="s">
        <v>870</v>
      </c>
      <c r="H579" s="19">
        <v>2018</v>
      </c>
      <c r="I579" s="2" t="s">
        <v>3</v>
      </c>
    </row>
    <row r="580" spans="2:9" x14ac:dyDescent="0.25">
      <c r="B580" s="2" t="s">
        <v>406</v>
      </c>
      <c r="C580" s="3">
        <v>28</v>
      </c>
      <c r="D580" s="1" t="s">
        <v>858</v>
      </c>
      <c r="E580" s="3">
        <v>2018</v>
      </c>
      <c r="F580" s="3">
        <v>24</v>
      </c>
      <c r="G580" s="3" t="s">
        <v>868</v>
      </c>
      <c r="H580" s="19">
        <v>2013</v>
      </c>
      <c r="I580" s="2" t="s">
        <v>2</v>
      </c>
    </row>
    <row r="581" spans="2:9" x14ac:dyDescent="0.25">
      <c r="B581" s="2" t="s">
        <v>407</v>
      </c>
      <c r="C581" s="3">
        <v>30</v>
      </c>
      <c r="D581" s="1" t="s">
        <v>858</v>
      </c>
      <c r="E581" s="3">
        <v>2018</v>
      </c>
      <c r="F581" s="3">
        <v>23</v>
      </c>
      <c r="G581" s="3" t="s">
        <v>863</v>
      </c>
      <c r="H581" s="19">
        <v>2018</v>
      </c>
      <c r="I581" s="2" t="s">
        <v>2</v>
      </c>
    </row>
    <row r="582" spans="2:9" x14ac:dyDescent="0.25">
      <c r="B582" s="2" t="s">
        <v>408</v>
      </c>
      <c r="C582" s="3">
        <v>30</v>
      </c>
      <c r="D582" s="1" t="s">
        <v>858</v>
      </c>
      <c r="E582" s="3">
        <v>2018</v>
      </c>
      <c r="F582" s="3">
        <v>7</v>
      </c>
      <c r="G582" s="3" t="s">
        <v>863</v>
      </c>
      <c r="H582" s="19">
        <v>2017</v>
      </c>
      <c r="I582" s="2" t="s">
        <v>3</v>
      </c>
    </row>
    <row r="583" spans="2:9" x14ac:dyDescent="0.25">
      <c r="B583" s="2" t="s">
        <v>409</v>
      </c>
      <c r="C583" s="3">
        <v>30</v>
      </c>
      <c r="D583" s="1" t="s">
        <v>858</v>
      </c>
      <c r="E583" s="3">
        <v>2018</v>
      </c>
      <c r="F583" s="3">
        <v>18</v>
      </c>
      <c r="G583" s="3" t="s">
        <v>868</v>
      </c>
      <c r="H583" s="19">
        <v>2018</v>
      </c>
      <c r="I583" s="2" t="s">
        <v>2</v>
      </c>
    </row>
    <row r="584" spans="2:9" x14ac:dyDescent="0.25">
      <c r="B584" s="2" t="s">
        <v>410</v>
      </c>
      <c r="C584" s="3">
        <v>3</v>
      </c>
      <c r="D584" s="1" t="s">
        <v>857</v>
      </c>
      <c r="E584" s="3">
        <v>2018</v>
      </c>
      <c r="F584" s="3">
        <v>10</v>
      </c>
      <c r="G584" s="3" t="s">
        <v>858</v>
      </c>
      <c r="H584" s="5">
        <v>2018</v>
      </c>
      <c r="I584" s="2" t="s">
        <v>2</v>
      </c>
    </row>
    <row r="585" spans="2:9" x14ac:dyDescent="0.25">
      <c r="B585" s="2" t="s">
        <v>411</v>
      </c>
      <c r="C585" s="3">
        <v>3</v>
      </c>
      <c r="D585" s="1" t="s">
        <v>857</v>
      </c>
      <c r="E585" s="3">
        <v>2018</v>
      </c>
      <c r="F585" s="3">
        <v>4</v>
      </c>
      <c r="G585" s="3" t="s">
        <v>870</v>
      </c>
      <c r="H585" s="5">
        <v>2018</v>
      </c>
      <c r="I585" s="2" t="s">
        <v>3</v>
      </c>
    </row>
    <row r="586" spans="2:9" x14ac:dyDescent="0.25">
      <c r="B586" s="2" t="s">
        <v>412</v>
      </c>
      <c r="C586" s="3">
        <v>3</v>
      </c>
      <c r="D586" s="1" t="s">
        <v>857</v>
      </c>
      <c r="E586" s="3">
        <v>2018</v>
      </c>
      <c r="F586" s="3">
        <v>1</v>
      </c>
      <c r="G586" s="3" t="s">
        <v>856</v>
      </c>
      <c r="H586" s="5">
        <v>2018</v>
      </c>
      <c r="I586" s="2" t="s">
        <v>2</v>
      </c>
    </row>
    <row r="587" spans="2:9" x14ac:dyDescent="0.25">
      <c r="B587" s="2" t="s">
        <v>413</v>
      </c>
      <c r="C587" s="3">
        <v>3</v>
      </c>
      <c r="D587" s="1" t="s">
        <v>857</v>
      </c>
      <c r="E587" s="3">
        <v>2018</v>
      </c>
      <c r="F587" s="3">
        <v>4</v>
      </c>
      <c r="G587" s="3" t="s">
        <v>861</v>
      </c>
      <c r="H587" s="5">
        <v>2017</v>
      </c>
      <c r="I587" s="2" t="s">
        <v>2</v>
      </c>
    </row>
    <row r="588" spans="2:9" x14ac:dyDescent="0.25">
      <c r="B588" s="2" t="s">
        <v>414</v>
      </c>
      <c r="C588" s="3">
        <v>3</v>
      </c>
      <c r="D588" s="1" t="s">
        <v>857</v>
      </c>
      <c r="E588" s="3">
        <v>2018</v>
      </c>
      <c r="F588" s="3">
        <v>7</v>
      </c>
      <c r="G588" s="3" t="s">
        <v>858</v>
      </c>
      <c r="H588" s="5">
        <v>2018</v>
      </c>
      <c r="I588" s="2" t="s">
        <v>3</v>
      </c>
    </row>
    <row r="589" spans="2:9" x14ac:dyDescent="0.25">
      <c r="B589" s="2" t="s">
        <v>415</v>
      </c>
      <c r="C589" s="3">
        <v>4</v>
      </c>
      <c r="D589" s="1" t="s">
        <v>857</v>
      </c>
      <c r="E589" s="3">
        <v>2018</v>
      </c>
      <c r="F589" s="3">
        <v>1</v>
      </c>
      <c r="G589" s="3" t="s">
        <v>867</v>
      </c>
      <c r="H589" s="5">
        <v>2018</v>
      </c>
      <c r="I589" s="2" t="s">
        <v>3</v>
      </c>
    </row>
    <row r="590" spans="2:9" x14ac:dyDescent="0.25">
      <c r="B590" s="2" t="s">
        <v>416</v>
      </c>
      <c r="C590" s="3">
        <v>5</v>
      </c>
      <c r="D590" s="1" t="s">
        <v>857</v>
      </c>
      <c r="E590" s="3">
        <v>2018</v>
      </c>
      <c r="F590" s="3">
        <v>15</v>
      </c>
      <c r="G590" s="3" t="s">
        <v>865</v>
      </c>
      <c r="H590" s="5">
        <v>2018</v>
      </c>
      <c r="I590" s="2" t="s">
        <v>2</v>
      </c>
    </row>
    <row r="591" spans="2:9" x14ac:dyDescent="0.25">
      <c r="B591" s="2" t="s">
        <v>417</v>
      </c>
      <c r="C591" s="3">
        <v>5</v>
      </c>
      <c r="D591" s="1" t="s">
        <v>857</v>
      </c>
      <c r="E591" s="3">
        <v>2018</v>
      </c>
      <c r="F591" s="3">
        <v>5</v>
      </c>
      <c r="G591" s="3" t="s">
        <v>866</v>
      </c>
      <c r="H591" s="5">
        <v>2016</v>
      </c>
      <c r="I591" s="2" t="s">
        <v>3</v>
      </c>
    </row>
    <row r="592" spans="2:9" x14ac:dyDescent="0.25">
      <c r="B592" s="2" t="s">
        <v>418</v>
      </c>
      <c r="C592" s="3">
        <v>5</v>
      </c>
      <c r="D592" s="1" t="s">
        <v>857</v>
      </c>
      <c r="E592" s="3">
        <v>2018</v>
      </c>
      <c r="F592" s="3">
        <v>5</v>
      </c>
      <c r="G592" s="3" t="s">
        <v>868</v>
      </c>
      <c r="H592" s="5">
        <v>2016</v>
      </c>
      <c r="I592" s="2" t="s">
        <v>2</v>
      </c>
    </row>
    <row r="593" spans="2:9" x14ac:dyDescent="0.25">
      <c r="B593" s="2" t="s">
        <v>419</v>
      </c>
      <c r="C593" s="3">
        <v>5</v>
      </c>
      <c r="D593" s="1" t="s">
        <v>857</v>
      </c>
      <c r="E593" s="3">
        <v>2018</v>
      </c>
      <c r="F593" s="3">
        <v>18</v>
      </c>
      <c r="G593" s="3" t="s">
        <v>857</v>
      </c>
      <c r="H593" s="5">
        <v>1952</v>
      </c>
      <c r="I593" s="2" t="s">
        <v>2</v>
      </c>
    </row>
    <row r="594" spans="2:9" x14ac:dyDescent="0.25">
      <c r="B594" s="2" t="s">
        <v>420</v>
      </c>
      <c r="C594" s="3">
        <v>7</v>
      </c>
      <c r="D594" s="1" t="s">
        <v>857</v>
      </c>
      <c r="E594" s="3">
        <v>2018</v>
      </c>
      <c r="F594" s="3">
        <v>3</v>
      </c>
      <c r="G594" s="3" t="s">
        <v>857</v>
      </c>
      <c r="H594" s="5">
        <v>2018</v>
      </c>
      <c r="I594" s="2" t="s">
        <v>2</v>
      </c>
    </row>
    <row r="595" spans="2:9" x14ac:dyDescent="0.25">
      <c r="B595" s="2" t="s">
        <v>421</v>
      </c>
      <c r="C595" s="3">
        <v>7</v>
      </c>
      <c r="D595" s="1" t="s">
        <v>857</v>
      </c>
      <c r="E595" s="3">
        <v>2018</v>
      </c>
      <c r="F595" s="3">
        <v>14</v>
      </c>
      <c r="G595" s="3" t="s">
        <v>858</v>
      </c>
      <c r="H595" s="5">
        <v>2018</v>
      </c>
      <c r="I595" s="7" t="s">
        <v>3</v>
      </c>
    </row>
    <row r="596" spans="2:9" x14ac:dyDescent="0.25">
      <c r="B596" s="2" t="s">
        <v>422</v>
      </c>
      <c r="C596" s="3">
        <v>7</v>
      </c>
      <c r="D596" s="1" t="s">
        <v>857</v>
      </c>
      <c r="E596" s="3">
        <v>2018</v>
      </c>
      <c r="F596" s="3">
        <v>17</v>
      </c>
      <c r="G596" s="3" t="s">
        <v>869</v>
      </c>
      <c r="H596" s="5">
        <v>2018</v>
      </c>
      <c r="I596" s="2" t="s">
        <v>2</v>
      </c>
    </row>
    <row r="597" spans="2:9" x14ac:dyDescent="0.25">
      <c r="B597" s="2" t="s">
        <v>423</v>
      </c>
      <c r="C597" s="3">
        <v>7</v>
      </c>
      <c r="D597" s="1" t="s">
        <v>857</v>
      </c>
      <c r="E597" s="3">
        <v>2018</v>
      </c>
      <c r="F597" s="3">
        <v>17</v>
      </c>
      <c r="G597" s="3" t="s">
        <v>869</v>
      </c>
      <c r="H597" s="5">
        <v>2018</v>
      </c>
      <c r="I597" s="2" t="s">
        <v>2</v>
      </c>
    </row>
    <row r="598" spans="2:9" x14ac:dyDescent="0.25">
      <c r="B598" s="2" t="s">
        <v>424</v>
      </c>
      <c r="C598" s="3">
        <v>10</v>
      </c>
      <c r="D598" s="1" t="s">
        <v>857</v>
      </c>
      <c r="E598" s="3">
        <v>2018</v>
      </c>
      <c r="F598" s="3">
        <v>7</v>
      </c>
      <c r="G598" s="3" t="s">
        <v>870</v>
      </c>
      <c r="H598" s="5">
        <v>2017</v>
      </c>
      <c r="I598" s="2" t="s">
        <v>3</v>
      </c>
    </row>
    <row r="599" spans="2:9" x14ac:dyDescent="0.25">
      <c r="B599" s="2" t="s">
        <v>425</v>
      </c>
      <c r="C599" s="3">
        <v>10</v>
      </c>
      <c r="D599" s="1" t="s">
        <v>857</v>
      </c>
      <c r="E599" s="3">
        <v>2018</v>
      </c>
      <c r="F599" s="3">
        <v>13</v>
      </c>
      <c r="G599" s="3" t="s">
        <v>864</v>
      </c>
      <c r="H599" s="5">
        <v>2017</v>
      </c>
      <c r="I599" s="2" t="s">
        <v>2</v>
      </c>
    </row>
    <row r="600" spans="2:9" x14ac:dyDescent="0.25">
      <c r="B600" s="2" t="s">
        <v>426</v>
      </c>
      <c r="C600" s="3">
        <v>10</v>
      </c>
      <c r="D600" s="1" t="s">
        <v>857</v>
      </c>
      <c r="E600" s="3">
        <v>2018</v>
      </c>
      <c r="F600" s="3">
        <v>20</v>
      </c>
      <c r="G600" s="3" t="s">
        <v>868</v>
      </c>
      <c r="H600" s="5">
        <v>2017</v>
      </c>
      <c r="I600" s="2" t="s">
        <v>3</v>
      </c>
    </row>
    <row r="601" spans="2:9" x14ac:dyDescent="0.25">
      <c r="B601" s="2" t="s">
        <v>427</v>
      </c>
      <c r="C601" s="3">
        <v>12</v>
      </c>
      <c r="D601" s="1" t="s">
        <v>857</v>
      </c>
      <c r="E601" s="3">
        <v>2018</v>
      </c>
      <c r="F601" s="3">
        <v>25</v>
      </c>
      <c r="G601" s="3" t="s">
        <v>865</v>
      </c>
      <c r="H601" s="5">
        <v>2018</v>
      </c>
      <c r="I601" s="2" t="s">
        <v>2</v>
      </c>
    </row>
    <row r="602" spans="2:9" x14ac:dyDescent="0.25">
      <c r="B602" s="2" t="s">
        <v>428</v>
      </c>
      <c r="C602" s="3">
        <v>12</v>
      </c>
      <c r="D602" s="1" t="s">
        <v>857</v>
      </c>
      <c r="E602" s="3">
        <v>2018</v>
      </c>
      <c r="F602" s="3">
        <v>30</v>
      </c>
      <c r="G602" s="3" t="s">
        <v>866</v>
      </c>
      <c r="H602" s="5">
        <v>2018</v>
      </c>
      <c r="I602" s="2" t="s">
        <v>3</v>
      </c>
    </row>
    <row r="603" spans="2:9" x14ac:dyDescent="0.25">
      <c r="B603" s="2" t="s">
        <v>429</v>
      </c>
      <c r="C603" s="3">
        <v>12</v>
      </c>
      <c r="D603" s="1" t="s">
        <v>857</v>
      </c>
      <c r="E603" s="3">
        <v>2018</v>
      </c>
      <c r="F603" s="3">
        <v>25</v>
      </c>
      <c r="G603" s="3" t="s">
        <v>858</v>
      </c>
      <c r="H603" s="5">
        <v>2018</v>
      </c>
      <c r="I603" s="2" t="s">
        <v>2</v>
      </c>
    </row>
    <row r="604" spans="2:9" x14ac:dyDescent="0.25">
      <c r="B604" s="2" t="s">
        <v>430</v>
      </c>
      <c r="C604" s="3">
        <v>13</v>
      </c>
      <c r="D604" s="1" t="s">
        <v>857</v>
      </c>
      <c r="E604" s="3">
        <v>2018</v>
      </c>
      <c r="F604" s="3">
        <v>22</v>
      </c>
      <c r="G604" s="3" t="s">
        <v>857</v>
      </c>
      <c r="H604" s="5">
        <v>2018</v>
      </c>
      <c r="I604" s="2" t="s">
        <v>3</v>
      </c>
    </row>
    <row r="605" spans="2:9" x14ac:dyDescent="0.25">
      <c r="B605" s="2" t="s">
        <v>431</v>
      </c>
      <c r="C605" s="3">
        <v>13</v>
      </c>
      <c r="D605" s="1" t="s">
        <v>857</v>
      </c>
      <c r="E605" s="3">
        <v>2018</v>
      </c>
      <c r="F605" s="3">
        <v>4</v>
      </c>
      <c r="G605" s="3" t="s">
        <v>863</v>
      </c>
      <c r="H605" s="5">
        <v>2018</v>
      </c>
      <c r="I605" s="2" t="s">
        <v>2</v>
      </c>
    </row>
    <row r="606" spans="2:9" x14ac:dyDescent="0.25">
      <c r="B606" s="2" t="s">
        <v>432</v>
      </c>
      <c r="C606" s="3">
        <v>13</v>
      </c>
      <c r="D606" s="1" t="s">
        <v>857</v>
      </c>
      <c r="E606" s="3">
        <v>2018</v>
      </c>
      <c r="F606" s="3">
        <v>15</v>
      </c>
      <c r="G606" s="3" t="s">
        <v>861</v>
      </c>
      <c r="H606" s="5">
        <v>2018</v>
      </c>
      <c r="I606" s="2" t="s">
        <v>3</v>
      </c>
    </row>
    <row r="607" spans="2:9" x14ac:dyDescent="0.25">
      <c r="B607" s="2" t="s">
        <v>433</v>
      </c>
      <c r="C607" s="3">
        <v>14</v>
      </c>
      <c r="D607" s="1" t="s">
        <v>857</v>
      </c>
      <c r="E607" s="3">
        <v>2018</v>
      </c>
      <c r="F607" s="3">
        <v>3</v>
      </c>
      <c r="G607" s="3" t="s">
        <v>865</v>
      </c>
      <c r="H607" s="5">
        <v>2018</v>
      </c>
      <c r="I607" s="2" t="s">
        <v>3</v>
      </c>
    </row>
    <row r="608" spans="2:9" x14ac:dyDescent="0.25">
      <c r="B608" s="2" t="s">
        <v>434</v>
      </c>
      <c r="C608" s="3">
        <v>14</v>
      </c>
      <c r="D608" s="1" t="s">
        <v>857</v>
      </c>
      <c r="E608" s="3">
        <v>2018</v>
      </c>
      <c r="F608" s="3">
        <v>1</v>
      </c>
      <c r="G608" s="3" t="s">
        <v>867</v>
      </c>
      <c r="H608" s="5">
        <v>2018</v>
      </c>
      <c r="I608" s="2" t="s">
        <v>2</v>
      </c>
    </row>
    <row r="609" spans="2:9" x14ac:dyDescent="0.25">
      <c r="B609" s="2" t="s">
        <v>435</v>
      </c>
      <c r="C609" s="3">
        <v>17</v>
      </c>
      <c r="D609" s="1" t="s">
        <v>857</v>
      </c>
      <c r="E609" s="3">
        <v>2018</v>
      </c>
      <c r="F609" s="3">
        <v>1</v>
      </c>
      <c r="G609" s="3" t="s">
        <v>856</v>
      </c>
      <c r="H609" s="5">
        <v>2018</v>
      </c>
      <c r="I609" s="2" t="s">
        <v>3</v>
      </c>
    </row>
    <row r="610" spans="2:9" x14ac:dyDescent="0.25">
      <c r="B610" s="2" t="s">
        <v>436</v>
      </c>
      <c r="C610" s="3">
        <v>18</v>
      </c>
      <c r="D610" s="1" t="s">
        <v>857</v>
      </c>
      <c r="E610" s="3">
        <v>2018</v>
      </c>
      <c r="F610" s="3">
        <v>30</v>
      </c>
      <c r="G610" s="3" t="s">
        <v>861</v>
      </c>
      <c r="H610" s="5">
        <v>2018</v>
      </c>
      <c r="I610" s="2" t="s">
        <v>2</v>
      </c>
    </row>
    <row r="611" spans="2:9" x14ac:dyDescent="0.25">
      <c r="B611" s="2" t="s">
        <v>437</v>
      </c>
      <c r="C611" s="3">
        <v>19</v>
      </c>
      <c r="D611" s="1" t="s">
        <v>857</v>
      </c>
      <c r="E611" s="3">
        <v>2018</v>
      </c>
      <c r="F611" s="3">
        <v>15</v>
      </c>
      <c r="G611" s="3" t="s">
        <v>866</v>
      </c>
      <c r="H611" s="5">
        <v>2018</v>
      </c>
      <c r="I611" s="2" t="s">
        <v>3</v>
      </c>
    </row>
    <row r="612" spans="2:9" x14ac:dyDescent="0.25">
      <c r="B612" s="2" t="s">
        <v>438</v>
      </c>
      <c r="C612" s="3">
        <v>19</v>
      </c>
      <c r="D612" s="1" t="s">
        <v>857</v>
      </c>
      <c r="E612" s="3">
        <v>2018</v>
      </c>
      <c r="F612" s="3">
        <v>27</v>
      </c>
      <c r="G612" s="3" t="s">
        <v>867</v>
      </c>
      <c r="H612" s="5">
        <v>2018</v>
      </c>
      <c r="I612" s="2" t="s">
        <v>2</v>
      </c>
    </row>
    <row r="613" spans="2:9" x14ac:dyDescent="0.25">
      <c r="B613" s="2" t="s">
        <v>439</v>
      </c>
      <c r="C613" s="3">
        <v>19</v>
      </c>
      <c r="D613" s="1" t="s">
        <v>857</v>
      </c>
      <c r="E613" s="3">
        <v>2018</v>
      </c>
      <c r="F613" s="3">
        <v>24</v>
      </c>
      <c r="G613" s="3" t="s">
        <v>858</v>
      </c>
      <c r="H613" s="5">
        <v>2018</v>
      </c>
      <c r="I613" s="2" t="s">
        <v>3</v>
      </c>
    </row>
    <row r="614" spans="2:9" x14ac:dyDescent="0.25">
      <c r="B614" s="2" t="s">
        <v>440</v>
      </c>
      <c r="C614" s="3">
        <v>19</v>
      </c>
      <c r="D614" s="1" t="s">
        <v>857</v>
      </c>
      <c r="E614" s="3">
        <v>2018</v>
      </c>
      <c r="F614" s="3">
        <v>9</v>
      </c>
      <c r="G614" s="3" t="s">
        <v>857</v>
      </c>
      <c r="H614" s="5">
        <v>2018</v>
      </c>
      <c r="I614" s="2" t="s">
        <v>3</v>
      </c>
    </row>
    <row r="615" spans="2:9" x14ac:dyDescent="0.25">
      <c r="B615" s="2" t="s">
        <v>441</v>
      </c>
      <c r="C615" s="3">
        <v>21</v>
      </c>
      <c r="D615" s="1" t="s">
        <v>857</v>
      </c>
      <c r="E615" s="3">
        <v>2018</v>
      </c>
      <c r="F615" s="3">
        <v>7</v>
      </c>
      <c r="G615" s="3" t="s">
        <v>870</v>
      </c>
      <c r="H615" s="5">
        <v>2018</v>
      </c>
      <c r="I615" s="2" t="s">
        <v>3</v>
      </c>
    </row>
    <row r="616" spans="2:9" x14ac:dyDescent="0.25">
      <c r="B616" s="2" t="s">
        <v>442</v>
      </c>
      <c r="C616" s="3">
        <v>21</v>
      </c>
      <c r="D616" s="1" t="s">
        <v>857</v>
      </c>
      <c r="E616" s="3">
        <v>2018</v>
      </c>
      <c r="F616" s="3">
        <v>25</v>
      </c>
      <c r="G616" s="3" t="s">
        <v>869</v>
      </c>
      <c r="H616" s="5">
        <v>2016</v>
      </c>
      <c r="I616" s="2" t="s">
        <v>2</v>
      </c>
    </row>
    <row r="617" spans="2:9" x14ac:dyDescent="0.25">
      <c r="B617" s="2" t="s">
        <v>443</v>
      </c>
      <c r="C617" s="3">
        <v>21</v>
      </c>
      <c r="D617" s="1" t="s">
        <v>857</v>
      </c>
      <c r="E617" s="3">
        <v>2018</v>
      </c>
      <c r="F617" s="3">
        <v>16</v>
      </c>
      <c r="G617" s="3" t="s">
        <v>861</v>
      </c>
      <c r="H617" s="5">
        <v>2018</v>
      </c>
      <c r="I617" s="2" t="s">
        <v>2</v>
      </c>
    </row>
    <row r="618" spans="2:9" x14ac:dyDescent="0.25">
      <c r="B618" s="2" t="s">
        <v>444</v>
      </c>
      <c r="C618" s="3">
        <v>21</v>
      </c>
      <c r="D618" s="1" t="s">
        <v>857</v>
      </c>
      <c r="E618" s="3">
        <v>2018</v>
      </c>
      <c r="F618" s="3">
        <v>25</v>
      </c>
      <c r="G618" s="3" t="s">
        <v>866</v>
      </c>
      <c r="H618" s="5">
        <v>2018</v>
      </c>
      <c r="I618" s="2" t="s">
        <v>2</v>
      </c>
    </row>
    <row r="619" spans="2:9" x14ac:dyDescent="0.25">
      <c r="B619" s="2" t="s">
        <v>445</v>
      </c>
      <c r="C619" s="3">
        <v>26</v>
      </c>
      <c r="D619" s="1" t="s">
        <v>857</v>
      </c>
      <c r="E619" s="3">
        <v>2018</v>
      </c>
      <c r="F619" s="3">
        <v>21</v>
      </c>
      <c r="G619" s="3" t="s">
        <v>863</v>
      </c>
      <c r="H619" s="5">
        <v>2017</v>
      </c>
      <c r="I619" s="2" t="s">
        <v>2</v>
      </c>
    </row>
    <row r="620" spans="2:9" x14ac:dyDescent="0.25">
      <c r="B620" s="2" t="s">
        <v>446</v>
      </c>
      <c r="C620" s="3">
        <v>26</v>
      </c>
      <c r="D620" s="1" t="s">
        <v>857</v>
      </c>
      <c r="E620" s="3">
        <v>2018</v>
      </c>
      <c r="F620" s="3">
        <v>26</v>
      </c>
      <c r="G620" s="3" t="s">
        <v>858</v>
      </c>
      <c r="H620" s="5">
        <v>2018</v>
      </c>
      <c r="I620" s="2" t="s">
        <v>2</v>
      </c>
    </row>
    <row r="621" spans="2:9" x14ac:dyDescent="0.25">
      <c r="B621" s="2" t="s">
        <v>447</v>
      </c>
      <c r="C621" s="3">
        <v>27</v>
      </c>
      <c r="D621" s="1" t="s">
        <v>857</v>
      </c>
      <c r="E621" s="3">
        <v>2018</v>
      </c>
      <c r="F621" s="3">
        <v>12</v>
      </c>
      <c r="G621" s="3" t="s">
        <v>857</v>
      </c>
      <c r="H621" s="5">
        <v>2018</v>
      </c>
      <c r="I621" s="2" t="s">
        <v>2</v>
      </c>
    </row>
    <row r="622" spans="2:9" x14ac:dyDescent="0.25">
      <c r="B622" s="2" t="s">
        <v>448</v>
      </c>
      <c r="C622" s="3">
        <v>28</v>
      </c>
      <c r="D622" s="1" t="s">
        <v>857</v>
      </c>
      <c r="E622" s="3">
        <v>2018</v>
      </c>
      <c r="F622" s="3">
        <v>19</v>
      </c>
      <c r="G622" s="3" t="s">
        <v>861</v>
      </c>
      <c r="H622" s="5">
        <v>2018</v>
      </c>
      <c r="I622" s="2" t="s">
        <v>2</v>
      </c>
    </row>
  </sheetData>
  <protectedRanges>
    <protectedRange algorithmName="SHA-512" hashValue="cgpRj/krUarnD3gTTDFu613ZqKGadI8zGVudXIajKfUIbyE4y+aL/KTqt/86mFbjgpNg+QDNA/KcVrkq5zIliA==" saltValue="UeLTtRdYkEfhujfeXXi1pA==" spinCount="100000" sqref="L4:N20 Q4:S17 V4:X18 AA4:AC15 AF4:AH14 AK4:AM15 L25:N39 Q25:S39 V25:X36 AA25:AC34 AF25:AH36 AK25:AM39" name="ENERO"/>
  </protectedRanges>
  <mergeCells count="25">
    <mergeCell ref="AJ23:AL23"/>
    <mergeCell ref="AJ40:AL40"/>
    <mergeCell ref="C1:E1"/>
    <mergeCell ref="F1:H1"/>
    <mergeCell ref="K2:M2"/>
    <mergeCell ref="K23:M23"/>
    <mergeCell ref="K40:M40"/>
    <mergeCell ref="AE2:AG2"/>
    <mergeCell ref="AE15:AG15"/>
    <mergeCell ref="AJ2:AL2"/>
    <mergeCell ref="K21:M21"/>
    <mergeCell ref="P2:R2"/>
    <mergeCell ref="P18:R18"/>
    <mergeCell ref="Z2:AB2"/>
    <mergeCell ref="Z16:AB16"/>
    <mergeCell ref="U2:W2"/>
    <mergeCell ref="U19:W19"/>
    <mergeCell ref="AE23:AG23"/>
    <mergeCell ref="AE37:AG37"/>
    <mergeCell ref="P23:R23"/>
    <mergeCell ref="P40:R40"/>
    <mergeCell ref="U23:W23"/>
    <mergeCell ref="U37:W37"/>
    <mergeCell ref="Z23:AB23"/>
    <mergeCell ref="Z35:AB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66"/>
  <sheetViews>
    <sheetView topLeftCell="I1" workbookViewId="0">
      <selection activeCell="K18" sqref="K18:M18"/>
    </sheetView>
  </sheetViews>
  <sheetFormatPr baseColWidth="10" defaultRowHeight="15" x14ac:dyDescent="0.25"/>
  <cols>
    <col min="10" max="10" width="5.42578125" customWidth="1"/>
    <col min="15" max="15" width="6.140625" customWidth="1"/>
    <col min="20" max="20" width="4.7109375" customWidth="1"/>
    <col min="25" max="25" width="3.85546875" customWidth="1"/>
    <col min="30" max="30" width="5" customWidth="1"/>
    <col min="32" max="32" width="11.85546875" bestFit="1" customWidth="1"/>
    <col min="35" max="35" width="6.28515625" customWidth="1"/>
    <col min="40" max="40" width="5" customWidth="1"/>
  </cols>
  <sheetData>
    <row r="1" spans="2:44" x14ac:dyDescent="0.25">
      <c r="B1" s="6" t="s">
        <v>0</v>
      </c>
      <c r="C1" s="49" t="s">
        <v>1</v>
      </c>
      <c r="D1" s="50"/>
      <c r="E1" s="51"/>
      <c r="F1" s="52" t="s">
        <v>8</v>
      </c>
      <c r="G1" s="53"/>
      <c r="H1" s="54"/>
      <c r="I1" s="13" t="s">
        <v>4</v>
      </c>
    </row>
    <row r="2" spans="2:44" x14ac:dyDescent="0.25">
      <c r="B2" s="15"/>
      <c r="C2" s="15" t="s">
        <v>853</v>
      </c>
      <c r="D2" s="15" t="s">
        <v>854</v>
      </c>
      <c r="E2" s="16" t="s">
        <v>855</v>
      </c>
      <c r="F2" s="14" t="s">
        <v>853</v>
      </c>
      <c r="G2" s="14" t="s">
        <v>854</v>
      </c>
      <c r="H2" s="12" t="s">
        <v>855</v>
      </c>
      <c r="I2" s="12" t="s">
        <v>862</v>
      </c>
      <c r="K2" s="47" t="s">
        <v>900</v>
      </c>
      <c r="L2" s="47"/>
      <c r="M2" s="47"/>
      <c r="N2" s="22" t="s">
        <v>859</v>
      </c>
      <c r="P2" s="47" t="s">
        <v>901</v>
      </c>
      <c r="Q2" s="47"/>
      <c r="R2" s="47"/>
      <c r="S2" s="22" t="s">
        <v>859</v>
      </c>
      <c r="U2" s="47" t="s">
        <v>902</v>
      </c>
      <c r="V2" s="47"/>
      <c r="W2" s="47"/>
      <c r="X2" s="22" t="s">
        <v>859</v>
      </c>
      <c r="Z2" s="47" t="s">
        <v>903</v>
      </c>
      <c r="AA2" s="47"/>
      <c r="AB2" s="47"/>
      <c r="AC2" s="22" t="s">
        <v>859</v>
      </c>
      <c r="AE2" s="47" t="s">
        <v>904</v>
      </c>
      <c r="AF2" s="47"/>
      <c r="AG2" s="47"/>
      <c r="AH2" s="22" t="s">
        <v>859</v>
      </c>
      <c r="AJ2" s="47" t="s">
        <v>905</v>
      </c>
      <c r="AK2" s="47"/>
      <c r="AL2" s="47"/>
      <c r="AM2" s="22" t="s">
        <v>859</v>
      </c>
      <c r="AO2" s="47" t="s">
        <v>906</v>
      </c>
      <c r="AP2" s="47"/>
      <c r="AQ2" s="47"/>
      <c r="AR2" s="22" t="s">
        <v>859</v>
      </c>
    </row>
    <row r="3" spans="2:44" x14ac:dyDescent="0.25">
      <c r="B3" s="2" t="s">
        <v>9</v>
      </c>
      <c r="C3" s="2">
        <v>2</v>
      </c>
      <c r="D3" s="2" t="s">
        <v>856</v>
      </c>
      <c r="E3" s="21">
        <v>2019</v>
      </c>
      <c r="F3" s="2">
        <v>3</v>
      </c>
      <c r="G3" s="2" t="s">
        <v>899</v>
      </c>
      <c r="H3" s="21">
        <v>2018</v>
      </c>
      <c r="I3" s="3" t="s">
        <v>3</v>
      </c>
      <c r="K3" s="23" t="s">
        <v>860</v>
      </c>
      <c r="L3" s="23" t="s">
        <v>3</v>
      </c>
      <c r="M3" s="23" t="s">
        <v>2</v>
      </c>
      <c r="N3" s="23" t="s">
        <v>862</v>
      </c>
      <c r="P3" s="23" t="s">
        <v>860</v>
      </c>
      <c r="Q3" s="23" t="s">
        <v>3</v>
      </c>
      <c r="R3" s="23" t="s">
        <v>2</v>
      </c>
      <c r="S3" s="23" t="s">
        <v>862</v>
      </c>
      <c r="U3" s="23" t="s">
        <v>860</v>
      </c>
      <c r="V3" s="23" t="s">
        <v>3</v>
      </c>
      <c r="W3" s="23" t="s">
        <v>2</v>
      </c>
      <c r="X3" s="23" t="s">
        <v>862</v>
      </c>
      <c r="Z3" s="23" t="s">
        <v>860</v>
      </c>
      <c r="AA3" s="23" t="s">
        <v>3</v>
      </c>
      <c r="AB3" s="23" t="s">
        <v>2</v>
      </c>
      <c r="AC3" s="23" t="s">
        <v>862</v>
      </c>
      <c r="AE3" s="23" t="s">
        <v>860</v>
      </c>
      <c r="AF3" s="23" t="s">
        <v>3</v>
      </c>
      <c r="AG3" s="23" t="s">
        <v>2</v>
      </c>
      <c r="AH3" s="23" t="s">
        <v>862</v>
      </c>
      <c r="AJ3" s="23" t="s">
        <v>860</v>
      </c>
      <c r="AK3" s="23" t="s">
        <v>3</v>
      </c>
      <c r="AL3" s="23" t="s">
        <v>2</v>
      </c>
      <c r="AM3" s="23" t="s">
        <v>862</v>
      </c>
      <c r="AO3" s="23" t="s">
        <v>860</v>
      </c>
      <c r="AP3" s="23" t="s">
        <v>3</v>
      </c>
      <c r="AQ3" s="23" t="s">
        <v>2</v>
      </c>
      <c r="AR3" s="23" t="s">
        <v>862</v>
      </c>
    </row>
    <row r="4" spans="2:44" x14ac:dyDescent="0.25">
      <c r="B4" s="2" t="s">
        <v>10</v>
      </c>
      <c r="C4" s="2">
        <v>3</v>
      </c>
      <c r="D4" s="2" t="s">
        <v>856</v>
      </c>
      <c r="E4" s="21">
        <v>2019</v>
      </c>
      <c r="F4" s="2">
        <v>17</v>
      </c>
      <c r="G4" s="2" t="s">
        <v>870</v>
      </c>
      <c r="H4" s="19">
        <v>2018</v>
      </c>
      <c r="I4" s="2" t="s">
        <v>2</v>
      </c>
      <c r="K4" s="18">
        <v>2</v>
      </c>
      <c r="L4" s="18">
        <f>COUNTIFS(C3:C633, "2",D3:D633,"ENERO", I3:I633, "HOMBRE")</f>
        <v>1</v>
      </c>
      <c r="M4" s="18">
        <f>COUNTIFS(C3:C633, "2",D3:D633,"ENERO", I3:I633, "MUJER")</f>
        <v>0</v>
      </c>
      <c r="N4" s="18">
        <f>SUM(L4:M4)</f>
        <v>1</v>
      </c>
      <c r="P4" s="18">
        <v>5</v>
      </c>
      <c r="Q4" s="18">
        <f>COUNTIFS(C3:C632, "5",D3:D632,"FEBRERO", I3:I632, "HOMBRE")</f>
        <v>1</v>
      </c>
      <c r="R4" s="18">
        <f>COUNTIFS(C3:C632, "5",D3:D632,"FEBRERO", I3:I632, "MUJER")</f>
        <v>1</v>
      </c>
      <c r="S4" s="18">
        <f>SUM(Q4:R4)</f>
        <v>2</v>
      </c>
      <c r="U4" s="18">
        <v>1</v>
      </c>
      <c r="V4" s="18">
        <f>COUNTIFS(C3:C638, "1",D3:D638,"MARZO", I3:I638, "HOMBRE")</f>
        <v>1</v>
      </c>
      <c r="W4" s="18">
        <f>COUNTIFS(C3:C638, "1",D3:D638,"MARZO", I3:I638, "MUJER")</f>
        <v>1</v>
      </c>
      <c r="X4" s="18">
        <f>SUM(V4:W4)</f>
        <v>2</v>
      </c>
      <c r="Z4" s="18">
        <v>3</v>
      </c>
      <c r="AA4" s="18">
        <f>COUNTIFS(C3:C641, "3",D3:D641,"ABRIL", I3:I641, "HOMBRE")</f>
        <v>1</v>
      </c>
      <c r="AB4" s="18">
        <f>COUNTIFS(C3:C641, "3",D3:D641,"ABRIL", I3:I641, "MUJER")</f>
        <v>0</v>
      </c>
      <c r="AC4" s="18">
        <f>SUM(AA4:AB4)</f>
        <v>1</v>
      </c>
      <c r="AE4" s="18">
        <v>7</v>
      </c>
      <c r="AF4" s="18">
        <f>COUNTIFS(C3:C639, "7",D3:D639,"MAYO", I3:I639, "HOMBRE")</f>
        <v>2</v>
      </c>
      <c r="AG4" s="18">
        <f>COUNTIFS(C3:C639, "7",D3:D639,"MAYO", I3:I639, "MUJER")</f>
        <v>1</v>
      </c>
      <c r="AH4" s="18">
        <f>SUM(AF4:AG4)</f>
        <v>3</v>
      </c>
      <c r="AJ4" s="18">
        <v>3</v>
      </c>
      <c r="AK4" s="18">
        <f>COUNTIFS(C3:C643, "3",I3:I643,"JUNIO", I3:I643, "HOMBRE")</f>
        <v>0</v>
      </c>
      <c r="AL4" s="18">
        <f>COUNTIFS(C3:C643, "3",D3:D643,"JUNIO", I3:I643, "MUJER")</f>
        <v>1</v>
      </c>
      <c r="AM4" s="18">
        <f>SUM(AK4:AL4)</f>
        <v>1</v>
      </c>
      <c r="AO4" s="18">
        <v>1</v>
      </c>
      <c r="AP4" s="18">
        <f>COUNTIFS(C3:C651, "1",D3:D651,"JULIO", I3:I651, "HOMBRE")</f>
        <v>3</v>
      </c>
      <c r="AQ4" s="18">
        <f>COUNTIFS(C3:C651, "1",D3:D651,"JULIO", I3:I651, "MUJER")</f>
        <v>1</v>
      </c>
      <c r="AR4" s="18">
        <f>SUM(AP4:AQ4)</f>
        <v>4</v>
      </c>
    </row>
    <row r="5" spans="2:44" x14ac:dyDescent="0.25">
      <c r="B5" s="2" t="s">
        <v>11</v>
      </c>
      <c r="C5" s="2">
        <v>3</v>
      </c>
      <c r="D5" s="2" t="s">
        <v>856</v>
      </c>
      <c r="E5" s="21">
        <v>2019</v>
      </c>
      <c r="F5" s="2">
        <v>3</v>
      </c>
      <c r="G5" s="2" t="s">
        <v>857</v>
      </c>
      <c r="H5" s="19">
        <v>2018</v>
      </c>
      <c r="I5" s="2" t="s">
        <v>3</v>
      </c>
      <c r="K5" s="26">
        <v>3</v>
      </c>
      <c r="L5" s="18">
        <f>COUNTIFS(C3:C633, "3",D3:D633,"ENERO", I3:I633, "HOMBRE")</f>
        <v>1</v>
      </c>
      <c r="M5" s="18">
        <f>COUNTIFS(C3:C633, "3",D3:D633,"ENERO", I3:I633, "MUJER")</f>
        <v>1</v>
      </c>
      <c r="N5" s="18">
        <f t="shared" ref="N5:N17" si="0">SUM(L5:M5)</f>
        <v>2</v>
      </c>
      <c r="P5" s="26">
        <v>6</v>
      </c>
      <c r="Q5" s="18">
        <f>COUNTIFS(C3:C632, "6",D3:D632,"FEBRERO", I3:I632, "HOMBRE")</f>
        <v>1</v>
      </c>
      <c r="R5" s="18">
        <f>COUNTIFS(C3:C632, "6",D3:D632,"FEBRERO", I3:I632, "MUJER")</f>
        <v>2</v>
      </c>
      <c r="S5" s="18">
        <f t="shared" ref="S5:S14" si="1">SUM(Q5:R5)</f>
        <v>3</v>
      </c>
      <c r="U5" s="26">
        <v>4</v>
      </c>
      <c r="V5" s="18">
        <f>COUNTIFS(C3:C638, "4",D3:D638,"MARZO", I3:I638, "HOMBRE")</f>
        <v>3</v>
      </c>
      <c r="W5" s="18">
        <f>COUNTIFS(C3:C638, "4",D3:D638,"MARZO", I3:I638, "MUJER")</f>
        <v>2</v>
      </c>
      <c r="X5" s="18">
        <f t="shared" ref="X5:X14" si="2">SUM(V5:W5)</f>
        <v>5</v>
      </c>
      <c r="Z5" s="26">
        <v>5</v>
      </c>
      <c r="AA5" s="18">
        <f>COUNTIFS(C3:C641, "5",D3:D641,"ABRIL", I3:I641, "HOMBRE")</f>
        <v>1</v>
      </c>
      <c r="AB5" s="18">
        <f>COUNTIFS(C3:C641, "5",D3:D641,"ABRIL", I3:I641, "MUJER")</f>
        <v>0</v>
      </c>
      <c r="AC5" s="18">
        <f t="shared" ref="AC5:AC16" si="3">SUM(AA5:AB5)</f>
        <v>1</v>
      </c>
      <c r="AE5" s="26">
        <v>8</v>
      </c>
      <c r="AF5" s="18">
        <f>COUNTIFS(C3:C639, "8",D3:D639,"MAYO", I3:I639, "HOMBRE")</f>
        <v>0</v>
      </c>
      <c r="AG5" s="18">
        <f>COUNTIFS(C3:C639, "8",D3:D639,"MAYO", I3:I639, "MUJER")</f>
        <v>2</v>
      </c>
      <c r="AH5" s="18">
        <f t="shared" ref="AH5:AH16" si="4">SUM(AF5:AG5)</f>
        <v>2</v>
      </c>
      <c r="AJ5" s="26">
        <v>4</v>
      </c>
      <c r="AK5" s="18">
        <f>COUNTIFS(C3:C643, "4",D3:D643,"JUNIO", I3:I643, "HOMBRE")</f>
        <v>1</v>
      </c>
      <c r="AL5" s="18">
        <f>COUNTIFS(C3:C643, "4",D3:D643,"JUNIO", I3:I643, "MUJER")</f>
        <v>0</v>
      </c>
      <c r="AM5" s="18">
        <f t="shared" ref="AM5:AM15" si="5">SUM(AK5:AL5)</f>
        <v>1</v>
      </c>
      <c r="AO5" s="26">
        <v>3</v>
      </c>
      <c r="AP5" s="18">
        <f>COUNTIFS(C3:C651, "3",D3:D651,"JULIO", I3:I651, "HOMBRE")</f>
        <v>1</v>
      </c>
      <c r="AQ5" s="18">
        <f>COUNTIFS(C3:C651, "3",D3:D651,"JULIO", I3:I651, "MUJER")</f>
        <v>1</v>
      </c>
      <c r="AR5" s="18">
        <f t="shared" ref="AR5:AR15" si="6">SUM(AP5:AQ5)</f>
        <v>2</v>
      </c>
    </row>
    <row r="6" spans="2:44" x14ac:dyDescent="0.25">
      <c r="B6" s="2" t="s">
        <v>12</v>
      </c>
      <c r="C6" s="2">
        <v>4</v>
      </c>
      <c r="D6" s="2" t="s">
        <v>856</v>
      </c>
      <c r="E6" s="21">
        <v>2019</v>
      </c>
      <c r="F6" s="2">
        <v>11</v>
      </c>
      <c r="G6" s="2" t="s">
        <v>857</v>
      </c>
      <c r="H6" s="19">
        <v>2018</v>
      </c>
      <c r="I6" s="2" t="s">
        <v>3</v>
      </c>
      <c r="K6" s="26">
        <v>4</v>
      </c>
      <c r="L6" s="18">
        <f>COUNTIFS(C3:C633, "4",D3:D633,"ENERO", I3:I633, "HOMBRE")</f>
        <v>1</v>
      </c>
      <c r="M6" s="18">
        <f>COUNTIFS(C3:C633, "4",D3:D633,"ENERO", I3:I633, "MUJER")</f>
        <v>0</v>
      </c>
      <c r="N6" s="18">
        <f t="shared" si="0"/>
        <v>1</v>
      </c>
      <c r="P6" s="26">
        <v>8</v>
      </c>
      <c r="Q6" s="18">
        <f>COUNTIFS(C3:C632, "8",D3:D632,"FEBRERO", I3:I632, "HOMBRE")</f>
        <v>2</v>
      </c>
      <c r="R6" s="18">
        <f>COUNTIFS(C3:C632, "8",D3:D632,"FEBRERO", I3:I632, "MUJER")</f>
        <v>0</v>
      </c>
      <c r="S6" s="18">
        <f t="shared" si="1"/>
        <v>2</v>
      </c>
      <c r="U6" s="26">
        <v>7</v>
      </c>
      <c r="V6" s="18">
        <f>COUNTIFS(C3:C638, "7",D3:D638,"MARZO", I3:I638, "HOMBRE")</f>
        <v>0</v>
      </c>
      <c r="W6" s="18">
        <f>COUNTIFS(C3:C638, "7",D3:D638,"MARZO", I3:I638, "MUJER")</f>
        <v>2</v>
      </c>
      <c r="X6" s="18">
        <f t="shared" si="2"/>
        <v>2</v>
      </c>
      <c r="Z6" s="26">
        <v>8</v>
      </c>
      <c r="AA6" s="18">
        <f>COUNTIFS(C3:C641, "8",D3:D641,"ABRIL", I3:I641, "HOMBRE")</f>
        <v>3</v>
      </c>
      <c r="AB6" s="18">
        <f>COUNTIFS(C3:C641, "8",D3:D641,"ABRIL", I3:I641, "MUJER")</f>
        <v>1</v>
      </c>
      <c r="AC6" s="18">
        <f t="shared" si="3"/>
        <v>4</v>
      </c>
      <c r="AE6" s="26">
        <v>9</v>
      </c>
      <c r="AF6" s="18">
        <f>COUNTIFS(C3:C639, "9",D3:D639,"MAYO", I3:I639, "HOMBRE")</f>
        <v>1</v>
      </c>
      <c r="AG6" s="18">
        <f>COUNTIFS(C3:C639, "9",D3:D639,"MAYO", I3:I639, "MUJER")</f>
        <v>2</v>
      </c>
      <c r="AH6" s="18">
        <f t="shared" si="4"/>
        <v>3</v>
      </c>
      <c r="AJ6" s="26">
        <v>5</v>
      </c>
      <c r="AK6" s="18">
        <f>COUNTIFS(C3:C643, "5",I3:I643,"JUNIO", I3:I643, "HOMBRE")</f>
        <v>0</v>
      </c>
      <c r="AL6" s="18">
        <f>COUNTIFS(C3:C643, "5",D3:D643,"JUNIO", I3:I643, "MUJER")</f>
        <v>0</v>
      </c>
      <c r="AM6" s="18">
        <f t="shared" si="5"/>
        <v>0</v>
      </c>
      <c r="AO6" s="26">
        <v>5</v>
      </c>
      <c r="AP6" s="18">
        <f>COUNTIFS(C3:C651, "5",D3:D651,"JULIO", I3:I651, "HOMBRE")</f>
        <v>2</v>
      </c>
      <c r="AQ6" s="18">
        <f>COUNTIFS(C3:C651, "5",D3:D651,"JULIO", I3:I651, "MUJER")</f>
        <v>1</v>
      </c>
      <c r="AR6" s="18">
        <f t="shared" si="6"/>
        <v>3</v>
      </c>
    </row>
    <row r="7" spans="2:44" x14ac:dyDescent="0.25">
      <c r="B7" s="2" t="s">
        <v>13</v>
      </c>
      <c r="C7" s="2">
        <v>8</v>
      </c>
      <c r="D7" s="2" t="s">
        <v>856</v>
      </c>
      <c r="E7" s="21">
        <v>2019</v>
      </c>
      <c r="F7" s="2">
        <v>9</v>
      </c>
      <c r="G7" s="2" t="s">
        <v>864</v>
      </c>
      <c r="H7" s="19">
        <v>2017</v>
      </c>
      <c r="I7" s="2" t="s">
        <v>3</v>
      </c>
      <c r="K7" s="26">
        <v>8</v>
      </c>
      <c r="L7" s="18">
        <f>COUNTIFS(C3:C633, "8",D3:D633,"ENERO", I3:I633, "HOMBRE")</f>
        <v>1</v>
      </c>
      <c r="M7" s="18">
        <f>COUNTIFS(C3:C633, "8",D3:D633,"ENERO", I3:I633, "MUJER")</f>
        <v>1</v>
      </c>
      <c r="N7" s="18">
        <f t="shared" si="0"/>
        <v>2</v>
      </c>
      <c r="P7" s="26">
        <v>11</v>
      </c>
      <c r="Q7" s="18">
        <f>COUNTIFS(C3:C632, "11",D3:D632,"FEBRERO", I3:I632, "HOMBRE")</f>
        <v>1</v>
      </c>
      <c r="R7" s="18">
        <f>COUNTIFS(C3:C632, "11",D3:D632,"FEBRERO", I3:I632, "MUJER")</f>
        <v>1</v>
      </c>
      <c r="S7" s="18">
        <f t="shared" si="1"/>
        <v>2</v>
      </c>
      <c r="U7" s="26">
        <v>8</v>
      </c>
      <c r="V7" s="18">
        <f>COUNTIFS(C3:C638, "8",D3:D638,"MARZO", I3:I638, "HOMBRE")</f>
        <v>3</v>
      </c>
      <c r="W7" s="18">
        <f>COUNTIFS(C3:C638, "8",D3:D638,"MARZO", I3:I638, "MUJER")</f>
        <v>1</v>
      </c>
      <c r="X7" s="18">
        <f t="shared" si="2"/>
        <v>4</v>
      </c>
      <c r="Z7" s="26">
        <v>11</v>
      </c>
      <c r="AA7" s="18">
        <f>COUNTIFS(C3:C641, "11",D3:D641,"ABRIL", I3:I641, "HOMBRE")</f>
        <v>2</v>
      </c>
      <c r="AB7" s="18">
        <f>COUNTIFS(C3:C641, "11",D3:D641,"ABRIL", I3:I641, "MUJER")</f>
        <v>1</v>
      </c>
      <c r="AC7" s="18">
        <f t="shared" si="3"/>
        <v>3</v>
      </c>
      <c r="AE7" s="26">
        <v>10</v>
      </c>
      <c r="AF7" s="18">
        <f>COUNTIFS(C3:C639, "10",D3:D639,"MAYO", I3:I639, "HOMBRE")</f>
        <v>1</v>
      </c>
      <c r="AG7" s="18">
        <f>COUNTIFS(C3:C639, "10",D3:D639,"MAYO", I3:I639, "MUJER")</f>
        <v>0</v>
      </c>
      <c r="AH7" s="18">
        <f t="shared" si="4"/>
        <v>1</v>
      </c>
      <c r="AJ7" s="26">
        <v>10</v>
      </c>
      <c r="AK7" s="18">
        <f>COUNTIFS(C3:C643, "10",D3:D643,"JUNIO", I3:I643, "HOMBRE")</f>
        <v>1</v>
      </c>
      <c r="AL7" s="18">
        <f>COUNTIFS(C3:C643, "10",D3:D643,"JUNIO", I3:I643, "MUJER")</f>
        <v>1</v>
      </c>
      <c r="AM7" s="18">
        <f t="shared" si="5"/>
        <v>2</v>
      </c>
      <c r="AO7" s="26">
        <v>12</v>
      </c>
      <c r="AP7" s="18">
        <f>COUNTIFS(C3:C651, "12",D3:D651,"JULIO", I3:I651, "HOMBRE")</f>
        <v>0</v>
      </c>
      <c r="AQ7" s="18">
        <f>COUNTIFS(C3:C651, "12",D3:D651,"JULIO", I3:I651, "MUJER")</f>
        <v>1</v>
      </c>
      <c r="AR7" s="18">
        <f t="shared" si="6"/>
        <v>1</v>
      </c>
    </row>
    <row r="8" spans="2:44" x14ac:dyDescent="0.25">
      <c r="B8" s="2" t="s">
        <v>14</v>
      </c>
      <c r="C8" s="2">
        <v>8</v>
      </c>
      <c r="D8" s="2" t="s">
        <v>856</v>
      </c>
      <c r="E8" s="21">
        <v>2019</v>
      </c>
      <c r="F8" s="2">
        <v>19</v>
      </c>
      <c r="G8" s="2" t="s">
        <v>866</v>
      </c>
      <c r="H8" s="19">
        <v>2018</v>
      </c>
      <c r="I8" s="2" t="s">
        <v>2</v>
      </c>
      <c r="K8" s="26">
        <v>9</v>
      </c>
      <c r="L8" s="18">
        <f>COUNTIFS(C3:C633, "9",D3:D633,"ENERO", I3:I633, "HOMBRE")</f>
        <v>8</v>
      </c>
      <c r="M8" s="18">
        <f>COUNTIFS(C3:C633, "9",D3:D633,"ENERO", I3:I633, "MUJER")</f>
        <v>9</v>
      </c>
      <c r="N8" s="18">
        <f t="shared" si="0"/>
        <v>17</v>
      </c>
      <c r="P8" s="26">
        <v>12</v>
      </c>
      <c r="Q8" s="18">
        <f>COUNTIFS(C3:C632, "12",D3:D632,"FEBRERO", I3:I632, "HOMBRE")</f>
        <v>1</v>
      </c>
      <c r="R8" s="18">
        <f>COUNTIFS(C3:C632, "12",D3:D632,"FEBRERO", I3:I632, "MUJER")</f>
        <v>0</v>
      </c>
      <c r="S8" s="18">
        <f t="shared" si="1"/>
        <v>1</v>
      </c>
      <c r="U8" s="26">
        <v>9</v>
      </c>
      <c r="V8" s="18">
        <f>COUNTIFS(C3:C638, "9",D3:D638,"MARZO", I3:I638, "HOMBRE")</f>
        <v>1</v>
      </c>
      <c r="W8" s="18">
        <f>COUNTIFS(C3:C638, "9",D3:D638,"MARZO", I3:I638, "MUJER")</f>
        <v>0</v>
      </c>
      <c r="X8" s="18">
        <f t="shared" si="2"/>
        <v>1</v>
      </c>
      <c r="Z8" s="26">
        <v>12</v>
      </c>
      <c r="AA8" s="18">
        <f>COUNTIFS(C3:C641, "12",D3:D641,"ABRIL", I3:I641, "HOMBRE")</f>
        <v>1</v>
      </c>
      <c r="AB8" s="18">
        <f>COUNTIFS(C3:C641, "12",D3:D641,"ABRIL", I3:I641, "MUJER")</f>
        <v>2</v>
      </c>
      <c r="AC8" s="18">
        <f t="shared" si="3"/>
        <v>3</v>
      </c>
      <c r="AE8" s="26">
        <v>14</v>
      </c>
      <c r="AF8" s="18">
        <f>COUNTIFS(C3:C639, "14",D3:D639,"MAYO", I3:I639, "HOMBRE")</f>
        <v>2</v>
      </c>
      <c r="AG8" s="18">
        <f>COUNTIFS(C3:C639, "14",D3:D639,"MAYO", I3:I639, "MUJER")</f>
        <v>1</v>
      </c>
      <c r="AH8" s="18">
        <f t="shared" si="4"/>
        <v>3</v>
      </c>
      <c r="AJ8" s="26">
        <v>12</v>
      </c>
      <c r="AK8" s="18">
        <f>COUNTIFS(C3:C643, "12",D3:D643,"JUNIO", I3:I643, "HOMBRE")</f>
        <v>1</v>
      </c>
      <c r="AL8" s="18">
        <f>COUNTIFS(C3:C643, "12",D3:D643,"JUNIO", I3:I643, "MUJER")</f>
        <v>0</v>
      </c>
      <c r="AM8" s="18">
        <f t="shared" si="5"/>
        <v>1</v>
      </c>
      <c r="AO8" s="26">
        <v>16</v>
      </c>
      <c r="AP8" s="18">
        <f>COUNTIFS(C3:C651, "16",D3:D651,"JULIO", I3:I651, "HOMBRE")</f>
        <v>4</v>
      </c>
      <c r="AQ8" s="18">
        <f>COUNTIFS(C3:C651, "16",D3:D651,"JULIO", I3:I651, "MUJER")</f>
        <v>1</v>
      </c>
      <c r="AR8" s="18">
        <f t="shared" si="6"/>
        <v>5</v>
      </c>
    </row>
    <row r="9" spans="2:44" x14ac:dyDescent="0.25">
      <c r="B9" s="2" t="s">
        <v>15</v>
      </c>
      <c r="C9" s="2">
        <v>9</v>
      </c>
      <c r="D9" s="2" t="s">
        <v>856</v>
      </c>
      <c r="E9" s="21">
        <v>2019</v>
      </c>
      <c r="F9" s="2">
        <v>6</v>
      </c>
      <c r="G9" s="2" t="s">
        <v>858</v>
      </c>
      <c r="H9" s="19">
        <v>2018</v>
      </c>
      <c r="I9" s="2" t="s">
        <v>3</v>
      </c>
      <c r="K9" s="26">
        <v>14</v>
      </c>
      <c r="L9" s="18">
        <f>COUNTIFS(C3:C633, "14",D3:D633,"ENERO", I3:I633, "HOMBRE")</f>
        <v>1</v>
      </c>
      <c r="M9" s="18">
        <f>COUNTIFS(C3:C633, "14",D3:D633,"ENERO", I3:I633, "MUJER")</f>
        <v>2</v>
      </c>
      <c r="N9" s="18">
        <f t="shared" si="0"/>
        <v>3</v>
      </c>
      <c r="P9" s="26">
        <v>18</v>
      </c>
      <c r="Q9" s="18">
        <f>COUNTIFS(C3:C632, "18",D3:D632,"FEBRERO", I3:I632, "HOMBRE")</f>
        <v>1</v>
      </c>
      <c r="R9" s="18">
        <f>COUNTIFS(C3:C632, "18",D3:D632,"FEBRERO", I3:I632, "MUJER")</f>
        <v>0</v>
      </c>
      <c r="S9" s="18">
        <f t="shared" si="1"/>
        <v>1</v>
      </c>
      <c r="U9" s="26">
        <v>12</v>
      </c>
      <c r="V9" s="18">
        <f>COUNTIFS(C3:C638, "12",D3:D638,"MARZO", I3:I638, "HOMBRE")</f>
        <v>4</v>
      </c>
      <c r="W9" s="18">
        <f>COUNTIFS(C3:C638, "12",D3:D638,"MARZO", I3:I638, "MUJER")</f>
        <v>1</v>
      </c>
      <c r="X9" s="18">
        <f t="shared" si="2"/>
        <v>5</v>
      </c>
      <c r="Z9" s="26">
        <v>16</v>
      </c>
      <c r="AA9" s="18">
        <f>COUNTIFS(C3:C641, "16",D3:D641,"ABRIL", I3:I641, "HOMBRE")</f>
        <v>0</v>
      </c>
      <c r="AB9" s="18">
        <f>COUNTIFS(C3:C641, "16",D3:D641,"ABRIL", I3:I641, "MUJER")</f>
        <v>1</v>
      </c>
      <c r="AC9" s="18">
        <f t="shared" si="3"/>
        <v>1</v>
      </c>
      <c r="AE9" s="26">
        <v>15</v>
      </c>
      <c r="AF9" s="18">
        <f>COUNTIFS(C3:C639, "15",D3:D639,"MAYO", I3:I639, "HOMBRE")</f>
        <v>2</v>
      </c>
      <c r="AG9" s="18">
        <f>COUNTIFS(C3:C639, "15",D3:D639,"MAYO", I3:I639, "MUJER")</f>
        <v>0</v>
      </c>
      <c r="AH9" s="18">
        <f t="shared" si="4"/>
        <v>2</v>
      </c>
      <c r="AJ9" s="26">
        <v>13</v>
      </c>
      <c r="AK9" s="18">
        <f>COUNTIFS(C3:C643, "13",D3:D643,"JUNIO", I3:I643, "HOMBRE")</f>
        <v>1</v>
      </c>
      <c r="AL9" s="18">
        <f>COUNTIFS(C3:C643, "13",D3:D643,"JUNIO", I3:I643, "MUJER")</f>
        <v>2</v>
      </c>
      <c r="AM9" s="18">
        <f t="shared" si="5"/>
        <v>3</v>
      </c>
      <c r="AO9" s="26">
        <v>17</v>
      </c>
      <c r="AP9" s="18">
        <f>COUNTIFS(C3:C651, "17",D3:D651,"JULIO", I3:I651, "HOMBRE")</f>
        <v>2</v>
      </c>
      <c r="AQ9" s="18">
        <f>COUNTIFS(C3:C651, "17",D3:D651,"JULIO", I3:I651, "MUJER")</f>
        <v>0</v>
      </c>
      <c r="AR9" s="18">
        <f t="shared" si="6"/>
        <v>2</v>
      </c>
    </row>
    <row r="10" spans="2:44" x14ac:dyDescent="0.25">
      <c r="B10" s="2" t="s">
        <v>16</v>
      </c>
      <c r="C10" s="2">
        <v>9</v>
      </c>
      <c r="D10" s="2" t="s">
        <v>856</v>
      </c>
      <c r="E10" s="21">
        <v>2019</v>
      </c>
      <c r="F10" s="2">
        <v>8</v>
      </c>
      <c r="G10" s="2" t="s">
        <v>870</v>
      </c>
      <c r="H10" s="19">
        <v>2018</v>
      </c>
      <c r="I10" s="2" t="s">
        <v>2</v>
      </c>
      <c r="K10" s="26">
        <v>21</v>
      </c>
      <c r="L10" s="18">
        <f>COUNTIFS(C3:C633, "21",D3:D633,"ENERO", I3:I633, "HOMBRE")</f>
        <v>2</v>
      </c>
      <c r="M10" s="18">
        <f>COUNTIFS(C3:C633, "21",D3:D633,"ENERO", I3:I633, "MUJER")</f>
        <v>1</v>
      </c>
      <c r="N10" s="18">
        <f t="shared" si="0"/>
        <v>3</v>
      </c>
      <c r="P10" s="26">
        <v>19</v>
      </c>
      <c r="Q10" s="18">
        <f>COUNTIFS(C3:C632, "19",D3:D632,"FEBRERO", I3:I632, "HOMBRE")</f>
        <v>1</v>
      </c>
      <c r="R10" s="18">
        <f>COUNTIFS(C3:C632, "19",D3:D632,"FEBRERO", I3:I632, "MUJER")</f>
        <v>2</v>
      </c>
      <c r="S10" s="18">
        <f t="shared" si="1"/>
        <v>3</v>
      </c>
      <c r="U10" s="26">
        <v>13</v>
      </c>
      <c r="V10" s="18">
        <f>COUNTIFS(C3:C638, "13",D3:D638,"MARZO", I3:I638, "HOMBRE")</f>
        <v>3</v>
      </c>
      <c r="W10" s="18">
        <f>COUNTIFS(C3:C638, "13",D3:D638,"MARZO", I3:I638, "MUJER")</f>
        <v>4</v>
      </c>
      <c r="X10" s="18">
        <f t="shared" si="2"/>
        <v>7</v>
      </c>
      <c r="Z10" s="26">
        <v>17</v>
      </c>
      <c r="AA10" s="18">
        <f>COUNTIFS(C3:C641, "17",D3:D641,"ABRIL", I3:I641, "HOMBRE")</f>
        <v>1</v>
      </c>
      <c r="AB10" s="18">
        <f>COUNTIFS(C3:C641, "17",D3:D641,"ABRIL", I3:I641, "MUJER")</f>
        <v>2</v>
      </c>
      <c r="AC10" s="18">
        <f t="shared" si="3"/>
        <v>3</v>
      </c>
      <c r="AE10" s="26">
        <v>17</v>
      </c>
      <c r="AF10" s="18">
        <f>COUNTIFS(C3:C649, "17",D3:D649,"MAYO", I3:I649, "HOMBRE")</f>
        <v>1</v>
      </c>
      <c r="AG10" s="18">
        <f>COUNTIFS(C3:C649, "17",D3:D649,"MAYO", I3:I649, "MUJER")</f>
        <v>1</v>
      </c>
      <c r="AH10" s="18">
        <f t="shared" si="4"/>
        <v>2</v>
      </c>
      <c r="AJ10" s="26">
        <v>17</v>
      </c>
      <c r="AK10" s="18">
        <f>COUNTIFS(C3:C643, "17",D3:D643,"JUNIO", I3:I643, "HOMBRE")</f>
        <v>2</v>
      </c>
      <c r="AL10" s="18">
        <f>COUNTIFS(C3:C643, "17",D3:D643,"JUNIO", I3:I643, "MUJER")</f>
        <v>0</v>
      </c>
      <c r="AM10" s="18">
        <f t="shared" si="5"/>
        <v>2</v>
      </c>
      <c r="AO10" s="26">
        <v>18</v>
      </c>
      <c r="AP10" s="18">
        <f>COUNTIFS(C3:C651, "18",D3:D651,"JULIO", I3:I651, "HOMBRE")</f>
        <v>3</v>
      </c>
      <c r="AQ10" s="18">
        <f>COUNTIFS(C3:C651, "18",D3:D651,"JULIO", I3:I651, "MUJER")</f>
        <v>0</v>
      </c>
      <c r="AR10" s="18">
        <f t="shared" si="6"/>
        <v>3</v>
      </c>
    </row>
    <row r="11" spans="2:44" x14ac:dyDescent="0.25">
      <c r="B11" s="2" t="s">
        <v>17</v>
      </c>
      <c r="C11" s="2">
        <v>9</v>
      </c>
      <c r="D11" s="2" t="s">
        <v>856</v>
      </c>
      <c r="E11" s="21">
        <v>2019</v>
      </c>
      <c r="F11" s="2">
        <v>18</v>
      </c>
      <c r="G11" s="2" t="s">
        <v>865</v>
      </c>
      <c r="H11" s="19">
        <v>2017</v>
      </c>
      <c r="I11" s="2" t="s">
        <v>2</v>
      </c>
      <c r="K11" s="26">
        <v>22</v>
      </c>
      <c r="L11" s="18">
        <f>COUNTIFS(C3:C633, "22",D3:D633,"ENERO", I3:I633, "HOMBRE")</f>
        <v>2</v>
      </c>
      <c r="M11" s="18">
        <f>COUNTIFS(C3:C633, "22",D3:D633,"ENERO", I3:I633, "MUJER")</f>
        <v>3</v>
      </c>
      <c r="N11" s="18">
        <f t="shared" si="0"/>
        <v>5</v>
      </c>
      <c r="P11" s="26">
        <v>20</v>
      </c>
      <c r="Q11" s="18">
        <f>COUNTIFS(C3:C632, "20",D3:D632,"FEBRERO", I3:I632, "HOMBRE")</f>
        <v>0</v>
      </c>
      <c r="R11" s="18">
        <f>COUNTIFS(C3:C632, "20",D3:D632,"FEBRERO", I3:I632, "MUJER")</f>
        <v>2</v>
      </c>
      <c r="S11" s="18">
        <f t="shared" si="1"/>
        <v>2</v>
      </c>
      <c r="U11" s="26">
        <v>14</v>
      </c>
      <c r="V11" s="18">
        <f>COUNTIFS(C3:C638, "14",D3:D638,"MARZO", I3:I638, "HOMBRE")</f>
        <v>1</v>
      </c>
      <c r="W11" s="18">
        <f>COUNTIFS(C3:C638, "14",D3:D638,"MARZO", I3:I638, "MUJER")</f>
        <v>3</v>
      </c>
      <c r="X11" s="18">
        <f t="shared" si="2"/>
        <v>4</v>
      </c>
      <c r="Z11" s="26">
        <v>22</v>
      </c>
      <c r="AA11" s="18">
        <f>COUNTIFS(C3:C641, "22",D3:D641,"ABRIL", I3:I641, "HOMBRE")</f>
        <v>1</v>
      </c>
      <c r="AB11" s="18">
        <f>COUNTIFS(C3:C641, "22",D3:D641,"ABRIL", I3:I641, "MUJER")</f>
        <v>0</v>
      </c>
      <c r="AC11" s="18">
        <f t="shared" si="3"/>
        <v>1</v>
      </c>
      <c r="AE11" s="26">
        <v>20</v>
      </c>
      <c r="AF11" s="18">
        <f>COUNTIFS(C3:C649, "20",D3:D649,"MAYO", I3:I649, "HOMBRE")</f>
        <v>0</v>
      </c>
      <c r="AG11" s="18">
        <f>COUNTIFS(C3:C649, "20",D3:D649,"MAYO", I3:I649, "MUJER")</f>
        <v>3</v>
      </c>
      <c r="AH11" s="18">
        <f t="shared" si="4"/>
        <v>3</v>
      </c>
      <c r="AJ11" s="26">
        <v>21</v>
      </c>
      <c r="AK11" s="18">
        <f>COUNTIFS(C3:C643, "21",D3:D643,"JUNIO", I3:I643, "HOMBRE")</f>
        <v>0</v>
      </c>
      <c r="AL11" s="18">
        <f>COUNTIFS(C3:C643, "21",D3:D643,"JUNIO", I3:I643, "MUJER")</f>
        <v>1</v>
      </c>
      <c r="AM11" s="18">
        <f t="shared" si="5"/>
        <v>1</v>
      </c>
      <c r="AO11" s="26">
        <v>25</v>
      </c>
      <c r="AP11" s="18">
        <f>COUNTIFS(C3:C651, "25",D3:D651,"JULIO", I3:I651, "HOMBRE")</f>
        <v>1</v>
      </c>
      <c r="AQ11" s="18">
        <f>COUNTIFS(C3:C651, "25",D3:D651,"JULIO", I3:I651, "MUJER")</f>
        <v>2</v>
      </c>
      <c r="AR11" s="18">
        <f t="shared" si="6"/>
        <v>3</v>
      </c>
    </row>
    <row r="12" spans="2:44" x14ac:dyDescent="0.25">
      <c r="B12" s="2" t="s">
        <v>18</v>
      </c>
      <c r="C12" s="2">
        <v>9</v>
      </c>
      <c r="D12" s="2" t="s">
        <v>856</v>
      </c>
      <c r="E12" s="21">
        <v>2019</v>
      </c>
      <c r="F12" s="2">
        <v>13</v>
      </c>
      <c r="G12" s="2" t="s">
        <v>899</v>
      </c>
      <c r="H12" s="19">
        <v>2018</v>
      </c>
      <c r="I12" s="2" t="s">
        <v>3</v>
      </c>
      <c r="K12" s="26">
        <v>23</v>
      </c>
      <c r="L12" s="18">
        <f>COUNTIFS(C3:C633, "23",D3:D633,"ENERO", I3:I633, "HOMBRE")</f>
        <v>1</v>
      </c>
      <c r="M12" s="18">
        <f>COUNTIFS(C3:C633, "23",D3:D633,"ENERO", I3:I633, "MUJER")</f>
        <v>2</v>
      </c>
      <c r="N12" s="18">
        <f t="shared" si="0"/>
        <v>3</v>
      </c>
      <c r="P12" s="26">
        <v>21</v>
      </c>
      <c r="Q12" s="18">
        <f>COUNTIFS(C3:C632, "21",D3:D632,"FEBRERO", I3:I632, "HOMBRE")</f>
        <v>4</v>
      </c>
      <c r="R12" s="18">
        <f>COUNTIFS(C3:C632, "21",D3:D632,"FEBRERO", I3:I632, "MUJER")</f>
        <v>1</v>
      </c>
      <c r="S12" s="18">
        <f t="shared" si="1"/>
        <v>5</v>
      </c>
      <c r="U12" s="26">
        <v>19</v>
      </c>
      <c r="V12" s="18">
        <f>COUNTIFS(C3:C638, "19",D3:D638,"MARZO", I3:I638, "HOMBRE")</f>
        <v>2</v>
      </c>
      <c r="W12" s="18">
        <f>COUNTIFS(C3:C638, "19",D3:D638,"MARZO", I3:I638, "MUJER")</f>
        <v>3</v>
      </c>
      <c r="X12" s="18">
        <f t="shared" si="2"/>
        <v>5</v>
      </c>
      <c r="Z12" s="26">
        <v>24</v>
      </c>
      <c r="AA12" s="18">
        <f>COUNTIFS(C3:C641, "24",D3:D641,"ABRIL", I3:I641, "HOMBRE")</f>
        <v>2</v>
      </c>
      <c r="AB12" s="18">
        <f>COUNTIFS(C3:C641, "24",D3:D641,"ABRIL", I3:I641, "MUJER")</f>
        <v>2</v>
      </c>
      <c r="AC12" s="18">
        <f t="shared" si="3"/>
        <v>4</v>
      </c>
      <c r="AE12" s="26">
        <v>27</v>
      </c>
      <c r="AF12" s="18">
        <f>COUNTIFS(C3:C649, "27",D3:D649,"MAYO", I3:I649, "HOMBRE")</f>
        <v>0</v>
      </c>
      <c r="AG12" s="18">
        <f>COUNTIFS(C3:C649, "27",D3:D649,"MAYO", I3:I649, "MUJER")</f>
        <v>1</v>
      </c>
      <c r="AH12" s="18">
        <f t="shared" si="4"/>
        <v>1</v>
      </c>
      <c r="AJ12" s="26">
        <v>24</v>
      </c>
      <c r="AK12" s="18">
        <f>COUNTIFS(C3:C643, "24",D3:D643,"JUNIO", I3:I643, "HOMBRE")</f>
        <v>1</v>
      </c>
      <c r="AL12" s="18">
        <f>COUNTIFS(C3:C643, "24",D3:D643,"JUNIO", I3:I643, "MUJER")</f>
        <v>2</v>
      </c>
      <c r="AM12" s="18">
        <f t="shared" si="5"/>
        <v>3</v>
      </c>
      <c r="AO12" s="26">
        <v>26</v>
      </c>
      <c r="AP12" s="18">
        <f>COUNTIFS(C3:C651, "26",D3:D651,"JULIO", I3:I651, "HOMBRE")</f>
        <v>0</v>
      </c>
      <c r="AQ12" s="18">
        <f>COUNTIFS(C3:C651, "26",D3:D651,"JULIO", I3:I651, "MUJER")</f>
        <v>2</v>
      </c>
      <c r="AR12" s="18">
        <f t="shared" si="6"/>
        <v>2</v>
      </c>
    </row>
    <row r="13" spans="2:44" x14ac:dyDescent="0.25">
      <c r="B13" s="2" t="s">
        <v>19</v>
      </c>
      <c r="C13" s="2">
        <v>9</v>
      </c>
      <c r="D13" s="2" t="s">
        <v>856</v>
      </c>
      <c r="E13" s="21">
        <v>2019</v>
      </c>
      <c r="F13" s="2">
        <v>13</v>
      </c>
      <c r="G13" s="2" t="s">
        <v>858</v>
      </c>
      <c r="H13" s="19">
        <v>2017</v>
      </c>
      <c r="I13" s="2" t="s">
        <v>3</v>
      </c>
      <c r="K13" s="26">
        <v>24</v>
      </c>
      <c r="L13" s="18">
        <f>COUNTIFS(C3:C633, "24",D3:D633,"ENERO", I3:I633, "HOMBRE")</f>
        <v>2</v>
      </c>
      <c r="M13" s="18">
        <f>COUNTIFS(C3:C633, "24",D3:D633,"ENERO", I3:I633, "MUJER")</f>
        <v>4</v>
      </c>
      <c r="N13" s="18">
        <f t="shared" si="0"/>
        <v>6</v>
      </c>
      <c r="P13" s="26">
        <v>22</v>
      </c>
      <c r="Q13" s="18">
        <f>COUNTIFS(C3:C632, "22",D3:D632,"FEBRERO", I3:I632, "HOMBRE")</f>
        <v>1</v>
      </c>
      <c r="R13" s="18">
        <f>COUNTIFS(C3:C632, "22",D3:D632,"FEBRERO", I3:I632, "MUJER")</f>
        <v>0</v>
      </c>
      <c r="S13" s="18">
        <f t="shared" si="1"/>
        <v>1</v>
      </c>
      <c r="U13" s="26">
        <v>21</v>
      </c>
      <c r="V13" s="18">
        <f>COUNTIFS(C3:C638, "21",D3:D638,"MARZO", I3:I638, "HOMBRE")</f>
        <v>1</v>
      </c>
      <c r="W13" s="18">
        <f>COUNTIFS(C3:C638, "21",D3:D638,"MARZO", I3:I638, "MUJER")</f>
        <v>1</v>
      </c>
      <c r="X13" s="18">
        <f t="shared" si="2"/>
        <v>2</v>
      </c>
      <c r="Z13" s="26">
        <v>25</v>
      </c>
      <c r="AA13" s="18">
        <f>COUNTIFS(C3:C641, "25",D3:D641,"ABRIL", I3:I641, "HOMBRE")</f>
        <v>2</v>
      </c>
      <c r="AB13" s="18">
        <f>COUNTIFS(C3:C641, "25",D3:D641,"ABRIL", I3:I641, "MUJER")</f>
        <v>2</v>
      </c>
      <c r="AC13" s="18">
        <f t="shared" si="3"/>
        <v>4</v>
      </c>
      <c r="AE13" s="26">
        <v>28</v>
      </c>
      <c r="AF13" s="18">
        <f>COUNTIFS(C3:C649, "28",D3:D649,"MAYO", I3:I649, "HOMBRE")</f>
        <v>1</v>
      </c>
      <c r="AG13" s="18">
        <f>COUNTIFS(C3:C649, "28",D3:D649,"MAYO", I3:I649, "MUJER")</f>
        <v>0</v>
      </c>
      <c r="AH13" s="18">
        <f t="shared" si="4"/>
        <v>1</v>
      </c>
      <c r="AJ13" s="26">
        <v>26</v>
      </c>
      <c r="AK13" s="18">
        <f>COUNTIFS(C3:C643, "26",I3:I643,"JUNIO", I3:I643, "HOMBRE")</f>
        <v>0</v>
      </c>
      <c r="AL13" s="18">
        <f>COUNTIFS(C3:C643, "26",D3:D643,"JUNIO", I3:I643, "MUJER")</f>
        <v>0</v>
      </c>
      <c r="AM13" s="18">
        <f t="shared" si="5"/>
        <v>0</v>
      </c>
      <c r="AO13" s="26">
        <v>29</v>
      </c>
      <c r="AP13" s="18">
        <f>COUNTIFS(C3:C651, "29",D3:D651,"JULIO", I3:I651, "HOMBRE")</f>
        <v>1</v>
      </c>
      <c r="AQ13" s="18">
        <f>COUNTIFS(C3:C651, "29",D3:D651,"JULIO", I3:I651, "MUJER")</f>
        <v>0</v>
      </c>
      <c r="AR13" s="18">
        <f t="shared" si="6"/>
        <v>1</v>
      </c>
    </row>
    <row r="14" spans="2:44" x14ac:dyDescent="0.25">
      <c r="B14" s="2" t="s">
        <v>20</v>
      </c>
      <c r="C14" s="2">
        <v>9</v>
      </c>
      <c r="D14" s="2" t="s">
        <v>856</v>
      </c>
      <c r="E14" s="21">
        <v>2019</v>
      </c>
      <c r="F14" s="2">
        <v>2</v>
      </c>
      <c r="G14" s="2" t="s">
        <v>864</v>
      </c>
      <c r="H14" s="19">
        <v>2018</v>
      </c>
      <c r="I14" s="2" t="s">
        <v>3</v>
      </c>
      <c r="K14" s="26">
        <v>28</v>
      </c>
      <c r="L14" s="18">
        <f>COUNTIFS(C3:C633, "28",D3:D633,"ENERO", I3:I633, "HOMBRE")</f>
        <v>0</v>
      </c>
      <c r="M14" s="18">
        <f>COUNTIFS(C3:C633, "28",D3:D633,"ENERO", I3:I633, "MUJER")</f>
        <v>1</v>
      </c>
      <c r="N14" s="18">
        <f t="shared" si="0"/>
        <v>1</v>
      </c>
      <c r="P14" s="26">
        <v>25</v>
      </c>
      <c r="Q14" s="18">
        <f>COUNTIFS(C3:C632, "25",D3:D632,"FEBRERO", I3:I632, "HOMBRE")</f>
        <v>0</v>
      </c>
      <c r="R14" s="18">
        <f>COUNTIFS(C3:C632, "25",D3:D632,"FEBRERO", I3:I632, "MUJER")</f>
        <v>1</v>
      </c>
      <c r="S14" s="18">
        <f t="shared" si="1"/>
        <v>1</v>
      </c>
      <c r="U14" s="26">
        <v>22</v>
      </c>
      <c r="V14" s="18">
        <f>COUNTIFS(C3:C638, "22",D3:D638,"MARZO", I3:I638, "HOMBRE")</f>
        <v>1</v>
      </c>
      <c r="W14" s="18">
        <f>COUNTIFS(C3:C638, "22",D3:D638,"MARZO", I3:I638, "MUJER")</f>
        <v>1</v>
      </c>
      <c r="X14" s="18">
        <f t="shared" si="2"/>
        <v>2</v>
      </c>
      <c r="Z14" s="26">
        <v>26</v>
      </c>
      <c r="AA14" s="18">
        <f>COUNTIFS(C3:C641, "26",D3:D641,"ABRIL", I3:I641, "HOMBRE")</f>
        <v>1</v>
      </c>
      <c r="AB14" s="18">
        <f>COUNTIFS(C3:C641, "26",D3:D641,"ABRIL", I3:I641, "MUJER")</f>
        <v>1</v>
      </c>
      <c r="AC14" s="18">
        <f t="shared" si="3"/>
        <v>2</v>
      </c>
      <c r="AE14" s="26">
        <v>29</v>
      </c>
      <c r="AF14" s="18">
        <f>COUNTIFS(C3:C649, "29",D3:D649,"MAYO", I3:I649, "HOMBRE")</f>
        <v>0</v>
      </c>
      <c r="AG14" s="18">
        <f>COUNTIFS(C3:C649, "29",D3:D649,"MAYO", I3:I649, "MUJER")</f>
        <v>1</v>
      </c>
      <c r="AH14" s="18">
        <f t="shared" si="4"/>
        <v>1</v>
      </c>
      <c r="AJ14" s="26">
        <v>27</v>
      </c>
      <c r="AK14" s="18">
        <f>COUNTIFS(C3:C643, "27",D3:D643,"JUNIO", I3:I643, "HOMBRE")</f>
        <v>1</v>
      </c>
      <c r="AL14" s="18">
        <f>COUNTIFS(C3:C643, "27",D3:D643,"JUNIO", I3:I643, "MUJER")</f>
        <v>1</v>
      </c>
      <c r="AM14" s="18">
        <f t="shared" si="5"/>
        <v>2</v>
      </c>
      <c r="AO14" s="26">
        <v>30</v>
      </c>
      <c r="AP14" s="18">
        <f>COUNTIFS(C3:C651, "30",D3:D651,"JULIO", I3:I651, "HOMBRE")</f>
        <v>1</v>
      </c>
      <c r="AQ14" s="18">
        <f>COUNTIFS(C3:C651, "30",D3:D651,"JULIO", I3:I651, "MUJER")</f>
        <v>0</v>
      </c>
      <c r="AR14" s="18">
        <f t="shared" si="6"/>
        <v>1</v>
      </c>
    </row>
    <row r="15" spans="2:44" x14ac:dyDescent="0.25">
      <c r="B15" s="2" t="s">
        <v>21</v>
      </c>
      <c r="C15" s="2">
        <v>9</v>
      </c>
      <c r="D15" s="2" t="s">
        <v>856</v>
      </c>
      <c r="E15" s="21">
        <v>2019</v>
      </c>
      <c r="F15" s="2">
        <v>30</v>
      </c>
      <c r="G15" s="2" t="s">
        <v>866</v>
      </c>
      <c r="H15" s="19">
        <v>2018</v>
      </c>
      <c r="I15" s="2" t="s">
        <v>3</v>
      </c>
      <c r="K15" s="26">
        <v>29</v>
      </c>
      <c r="L15" s="18">
        <f>COUNTIFS(C3:C633, "29",D3:D633,"ENERO", I3:I633, "HOMBRE")</f>
        <v>0</v>
      </c>
      <c r="M15" s="18">
        <f>COUNTIFS(C3:C633, "29",D3:D633,"ENERO", I3:I633, "MUJER")</f>
        <v>1</v>
      </c>
      <c r="N15" s="18">
        <f t="shared" si="0"/>
        <v>1</v>
      </c>
      <c r="P15" s="46" t="s">
        <v>871</v>
      </c>
      <c r="Q15" s="46"/>
      <c r="R15" s="46"/>
      <c r="S15" s="25">
        <f>SUM(S4:S14)</f>
        <v>23</v>
      </c>
      <c r="U15" s="46" t="s">
        <v>871</v>
      </c>
      <c r="V15" s="46"/>
      <c r="W15" s="46"/>
      <c r="X15" s="28">
        <f>SUM(X4:X14)</f>
        <v>39</v>
      </c>
      <c r="Z15" s="26">
        <v>29</v>
      </c>
      <c r="AA15" s="18">
        <f>COUNTIFS(C3:C641, "29",D3:D641,"ABRIL", I3:I641, "HOMBRE")</f>
        <v>19</v>
      </c>
      <c r="AB15" s="18">
        <f>COUNTIFS(C3:C641, "29",D3:D641,"ABRIL", I3:I641, "MUJER")</f>
        <v>31</v>
      </c>
      <c r="AC15" s="18">
        <f t="shared" si="3"/>
        <v>50</v>
      </c>
      <c r="AE15" s="26">
        <v>30</v>
      </c>
      <c r="AF15" s="18">
        <f>COUNTIFS(C3:C649, "30",D3:D649,"MAYO", I3:I649, "HOMBRE")</f>
        <v>2</v>
      </c>
      <c r="AG15" s="18">
        <f>COUNTIFS(C3:C649, "30",D3:D649,"MAYO", I3:I649, "MUJER")</f>
        <v>1</v>
      </c>
      <c r="AH15" s="18">
        <f t="shared" si="4"/>
        <v>3</v>
      </c>
      <c r="AJ15" s="26">
        <v>28</v>
      </c>
      <c r="AK15" s="18">
        <f>COUNTIFS(C3:C643, "28",D3:D643,"JUNIO", I3:I643, "HOMBRE")</f>
        <v>1</v>
      </c>
      <c r="AL15" s="18">
        <f>COUNTIFS(C3:C643, "28",D3:D643,"JUNIO", I3:I643, "MUJER")</f>
        <v>1</v>
      </c>
      <c r="AM15" s="18">
        <f t="shared" si="5"/>
        <v>2</v>
      </c>
      <c r="AO15" s="26">
        <v>31</v>
      </c>
      <c r="AP15" s="18">
        <f>COUNTIFS(C3:C651, "31",D3:D651,"JULIO", I3:I651, "HOMBRE")</f>
        <v>1</v>
      </c>
      <c r="AQ15" s="18">
        <f>COUNTIFS(C3:C651, "31",D3:D651,"JULIO", I3:I651, "MUJER")</f>
        <v>2</v>
      </c>
      <c r="AR15" s="18">
        <f t="shared" si="6"/>
        <v>3</v>
      </c>
    </row>
    <row r="16" spans="2:44" x14ac:dyDescent="0.25">
      <c r="B16" s="2" t="s">
        <v>22</v>
      </c>
      <c r="C16" s="2">
        <v>9</v>
      </c>
      <c r="D16" s="2" t="s">
        <v>856</v>
      </c>
      <c r="E16" s="21">
        <v>2019</v>
      </c>
      <c r="F16" s="2">
        <v>3</v>
      </c>
      <c r="G16" s="2" t="s">
        <v>866</v>
      </c>
      <c r="H16" s="19">
        <v>2016</v>
      </c>
      <c r="I16" s="2" t="s">
        <v>2</v>
      </c>
      <c r="K16" s="26">
        <v>30</v>
      </c>
      <c r="L16" s="18">
        <f>COUNTIFS(C3:C633, "30",D3:D633,"ENERO", I3:I633, "HOMBRE")</f>
        <v>1</v>
      </c>
      <c r="M16" s="18">
        <f>COUNTIFS(C3:C633, "30",D3:D633,"ENERO", I3:I633, "MUJER")</f>
        <v>0</v>
      </c>
      <c r="N16" s="18">
        <f t="shared" si="0"/>
        <v>1</v>
      </c>
      <c r="Z16" s="26">
        <v>30</v>
      </c>
      <c r="AA16" s="18">
        <f>COUNTIFS(C3:C641, "30",D3:D641,"ABRIL", I3:I641, "HOMBRE")</f>
        <v>2</v>
      </c>
      <c r="AB16" s="18">
        <f>COUNTIFS(C3:C641, "30",D3:D641,"ABRIL", I3:I641, "MUJER")</f>
        <v>0</v>
      </c>
      <c r="AC16" s="18">
        <f t="shared" si="3"/>
        <v>2</v>
      </c>
      <c r="AE16" s="26">
        <v>31</v>
      </c>
      <c r="AF16" s="18">
        <f>COUNTIFS(C3:C649, "31",D3:D649,"MAYO", I3:I649, "HOMBRE")</f>
        <v>0</v>
      </c>
      <c r="AG16" s="18">
        <f>COUNTIFS(C15:C651, "7",D15:D651,"MAYO", I15:I651, "MUJER")</f>
        <v>1</v>
      </c>
      <c r="AH16" s="18">
        <f t="shared" si="4"/>
        <v>1</v>
      </c>
      <c r="AJ16" s="46" t="s">
        <v>871</v>
      </c>
      <c r="AK16" s="46"/>
      <c r="AL16" s="46"/>
      <c r="AM16" s="25">
        <f>SUM(AM4:AM15)</f>
        <v>18</v>
      </c>
      <c r="AO16" s="46" t="s">
        <v>871</v>
      </c>
      <c r="AP16" s="46"/>
      <c r="AQ16" s="46"/>
      <c r="AR16" s="25">
        <f>SUM(AR4:AR15)</f>
        <v>30</v>
      </c>
    </row>
    <row r="17" spans="2:34" x14ac:dyDescent="0.25">
      <c r="B17" s="2" t="s">
        <v>23</v>
      </c>
      <c r="C17" s="2">
        <v>9</v>
      </c>
      <c r="D17" s="2" t="s">
        <v>856</v>
      </c>
      <c r="E17" s="21">
        <v>2019</v>
      </c>
      <c r="F17" s="2">
        <v>30</v>
      </c>
      <c r="G17" s="2" t="s">
        <v>870</v>
      </c>
      <c r="H17" s="19">
        <v>2018</v>
      </c>
      <c r="I17" s="2" t="s">
        <v>3</v>
      </c>
      <c r="K17" s="26">
        <v>31</v>
      </c>
      <c r="L17" s="18">
        <f>COUNTIFS(C3:C633, "31",D3:D633,"ENERO", I3:I633, "HOMBRE")</f>
        <v>0</v>
      </c>
      <c r="M17" s="18">
        <f>COUNTIFS(C3:C633, "31",D3:D633,"ENERO", I3:I633, "MUJER")</f>
        <v>2</v>
      </c>
      <c r="N17" s="18">
        <f t="shared" si="0"/>
        <v>2</v>
      </c>
      <c r="Z17" s="46" t="s">
        <v>871</v>
      </c>
      <c r="AA17" s="46"/>
      <c r="AB17" s="46"/>
      <c r="AC17" s="25">
        <f>SUM(AC4:AC16)</f>
        <v>79</v>
      </c>
      <c r="AE17" s="46" t="s">
        <v>871</v>
      </c>
      <c r="AF17" s="46"/>
      <c r="AG17" s="46"/>
      <c r="AH17" s="25">
        <f>SUM(AH4:AH16)</f>
        <v>26</v>
      </c>
    </row>
    <row r="18" spans="2:34" x14ac:dyDescent="0.25">
      <c r="B18" s="2" t="s">
        <v>24</v>
      </c>
      <c r="C18" s="2">
        <v>9</v>
      </c>
      <c r="D18" s="2" t="s">
        <v>856</v>
      </c>
      <c r="E18" s="21">
        <v>2019</v>
      </c>
      <c r="F18" s="2">
        <v>27</v>
      </c>
      <c r="G18" s="2" t="s">
        <v>858</v>
      </c>
      <c r="H18" s="19">
        <v>2018</v>
      </c>
      <c r="I18" s="2" t="s">
        <v>2</v>
      </c>
      <c r="K18" s="46" t="s">
        <v>871</v>
      </c>
      <c r="L18" s="46"/>
      <c r="M18" s="46"/>
      <c r="N18" s="25">
        <f>SUM(N4:N17)</f>
        <v>48</v>
      </c>
    </row>
    <row r="19" spans="2:34" x14ac:dyDescent="0.25">
      <c r="B19" s="2" t="s">
        <v>25</v>
      </c>
      <c r="C19" s="2">
        <v>9</v>
      </c>
      <c r="D19" s="2" t="s">
        <v>856</v>
      </c>
      <c r="E19" s="21">
        <v>2019</v>
      </c>
      <c r="F19" s="2">
        <v>1</v>
      </c>
      <c r="G19" s="2" t="s">
        <v>857</v>
      </c>
      <c r="H19" s="19">
        <v>2018</v>
      </c>
      <c r="I19" s="2" t="s">
        <v>2</v>
      </c>
    </row>
    <row r="20" spans="2:34" x14ac:dyDescent="0.25">
      <c r="B20" s="2" t="s">
        <v>26</v>
      </c>
      <c r="C20" s="2">
        <v>9</v>
      </c>
      <c r="D20" s="2" t="s">
        <v>856</v>
      </c>
      <c r="E20" s="21">
        <v>2019</v>
      </c>
      <c r="F20" s="2">
        <v>1</v>
      </c>
      <c r="G20" s="2" t="s">
        <v>858</v>
      </c>
      <c r="H20" s="19">
        <v>2018</v>
      </c>
      <c r="I20" s="2" t="s">
        <v>2</v>
      </c>
    </row>
    <row r="21" spans="2:34" x14ac:dyDescent="0.25">
      <c r="B21" s="2" t="s">
        <v>27</v>
      </c>
      <c r="C21" s="2">
        <v>9</v>
      </c>
      <c r="D21" s="2" t="s">
        <v>856</v>
      </c>
      <c r="E21" s="21">
        <v>2019</v>
      </c>
      <c r="F21" s="2">
        <v>23</v>
      </c>
      <c r="G21" s="2" t="s">
        <v>870</v>
      </c>
      <c r="H21" s="19">
        <v>2018</v>
      </c>
      <c r="I21" s="2" t="s">
        <v>2</v>
      </c>
      <c r="K21" s="47" t="s">
        <v>907</v>
      </c>
      <c r="L21" s="47"/>
      <c r="M21" s="47"/>
      <c r="N21" s="22" t="s">
        <v>859</v>
      </c>
      <c r="P21" s="47" t="s">
        <v>908</v>
      </c>
      <c r="Q21" s="47"/>
      <c r="R21" s="47"/>
      <c r="S21" s="22" t="s">
        <v>859</v>
      </c>
      <c r="U21" s="47" t="s">
        <v>910</v>
      </c>
      <c r="V21" s="47"/>
      <c r="W21" s="47"/>
      <c r="X21" s="22" t="s">
        <v>859</v>
      </c>
      <c r="Z21" s="47" t="s">
        <v>911</v>
      </c>
      <c r="AA21" s="47"/>
      <c r="AB21" s="47"/>
      <c r="AC21" s="22" t="s">
        <v>859</v>
      </c>
      <c r="AE21" s="47" t="s">
        <v>912</v>
      </c>
      <c r="AF21" s="47"/>
      <c r="AG21" s="47"/>
      <c r="AH21" s="22" t="s">
        <v>859</v>
      </c>
    </row>
    <row r="22" spans="2:34" x14ac:dyDescent="0.25">
      <c r="B22" s="2" t="s">
        <v>28</v>
      </c>
      <c r="C22" s="2">
        <v>9</v>
      </c>
      <c r="D22" s="2" t="s">
        <v>856</v>
      </c>
      <c r="E22" s="21">
        <v>2019</v>
      </c>
      <c r="F22" s="2">
        <v>6</v>
      </c>
      <c r="G22" s="2" t="s">
        <v>867</v>
      </c>
      <c r="H22" s="19">
        <v>2018</v>
      </c>
      <c r="I22" s="2" t="s">
        <v>3</v>
      </c>
      <c r="K22" s="23" t="s">
        <v>860</v>
      </c>
      <c r="L22" s="23" t="s">
        <v>3</v>
      </c>
      <c r="M22" s="23" t="s">
        <v>2</v>
      </c>
      <c r="N22" s="23" t="s">
        <v>862</v>
      </c>
      <c r="P22" s="23" t="s">
        <v>860</v>
      </c>
      <c r="Q22" s="23" t="s">
        <v>3</v>
      </c>
      <c r="R22" s="23" t="s">
        <v>2</v>
      </c>
      <c r="S22" s="23" t="s">
        <v>862</v>
      </c>
      <c r="U22" s="23" t="s">
        <v>860</v>
      </c>
      <c r="V22" s="23" t="s">
        <v>3</v>
      </c>
      <c r="W22" s="23" t="s">
        <v>2</v>
      </c>
      <c r="X22" s="23" t="s">
        <v>862</v>
      </c>
      <c r="Z22" s="23" t="s">
        <v>860</v>
      </c>
      <c r="AA22" s="23" t="s">
        <v>3</v>
      </c>
      <c r="AB22" s="23" t="s">
        <v>2</v>
      </c>
      <c r="AC22" s="23" t="s">
        <v>862</v>
      </c>
      <c r="AE22" s="23" t="s">
        <v>860</v>
      </c>
      <c r="AF22" s="23" t="s">
        <v>3</v>
      </c>
      <c r="AG22" s="23" t="s">
        <v>2</v>
      </c>
      <c r="AH22" s="23" t="s">
        <v>862</v>
      </c>
    </row>
    <row r="23" spans="2:34" x14ac:dyDescent="0.25">
      <c r="B23" s="2" t="s">
        <v>29</v>
      </c>
      <c r="C23" s="2">
        <v>9</v>
      </c>
      <c r="D23" s="2" t="s">
        <v>856</v>
      </c>
      <c r="E23" s="21">
        <v>2019</v>
      </c>
      <c r="F23" s="2">
        <v>14</v>
      </c>
      <c r="G23" s="2" t="s">
        <v>864</v>
      </c>
      <c r="H23" s="19">
        <v>2014</v>
      </c>
      <c r="I23" s="2" t="s">
        <v>3</v>
      </c>
      <c r="K23" s="18">
        <v>2</v>
      </c>
      <c r="L23" s="18">
        <f>COUNTIFS(C3:C655, "2",D3:D655,"AGOSTO", I3:I655, "HOMBRE")</f>
        <v>0</v>
      </c>
      <c r="M23" s="18">
        <f>COUNTIFS(C3:C655, "2",D3:D655,"AGOSTO", I3:I655, "MUJER")</f>
        <v>1</v>
      </c>
      <c r="N23" s="18">
        <f>SUM(L23:M23)</f>
        <v>1</v>
      </c>
      <c r="P23" s="18">
        <v>2</v>
      </c>
      <c r="Q23" s="18">
        <f>COUNTIFS(C3:C672, "2",D3:D672,"SEPTIEMBRE", I3:I672, "HOMBRE")</f>
        <v>4</v>
      </c>
      <c r="R23" s="18">
        <f>COUNTIFS(C3:C672, "2",D3:D672,"SEPTIEMBRE", I3:I672, "MUJER")</f>
        <v>0</v>
      </c>
      <c r="S23" s="18">
        <f>SUM(Q23:R23)</f>
        <v>4</v>
      </c>
      <c r="U23" s="18">
        <v>1</v>
      </c>
      <c r="V23" s="18">
        <f>COUNTIFS(C3:C680, "1",D3:D680,"OCTUBRE", I3:I680, "HOMBRE")</f>
        <v>1</v>
      </c>
      <c r="W23" s="18">
        <f>COUNTIFS(C3:C680, "1",D3:D680,"OCTUBRE", I3:I680, "MUJER")</f>
        <v>2</v>
      </c>
      <c r="X23" s="18">
        <f>SUM(V23:W23)</f>
        <v>3</v>
      </c>
      <c r="Z23" s="18">
        <v>4</v>
      </c>
      <c r="AA23" s="18">
        <f>COUNTIFS(C3:C687, "4",D3:D687,"NOVIEMBRE", I3:I687, "HOMBRE")</f>
        <v>0</v>
      </c>
      <c r="AB23" s="18">
        <f>COUNTIFS(C3:C687, "4",D3:D687,"OCTUBRE", I3:I687, "MUJER")</f>
        <v>5</v>
      </c>
      <c r="AC23" s="18">
        <f>SUM(AA23:AB23)</f>
        <v>5</v>
      </c>
      <c r="AE23" s="18">
        <v>2</v>
      </c>
      <c r="AF23" s="18">
        <f>COUNTIFS(C3:C687, "2",D3:D687,"DICIEMBRE", I3:I687, "HOMBRE")</f>
        <v>0</v>
      </c>
      <c r="AG23" s="18">
        <f>COUNTIFS(C3:C687, "2",D3:D687,"DICIEMBRE", I3:I687, "MUJER")</f>
        <v>1</v>
      </c>
      <c r="AH23" s="18">
        <f>SUM(AF23:AG23)</f>
        <v>1</v>
      </c>
    </row>
    <row r="24" spans="2:34" x14ac:dyDescent="0.25">
      <c r="B24" s="2" t="s">
        <v>30</v>
      </c>
      <c r="C24" s="2">
        <v>9</v>
      </c>
      <c r="D24" s="2" t="s">
        <v>856</v>
      </c>
      <c r="E24" s="21">
        <v>2019</v>
      </c>
      <c r="F24" s="2">
        <v>20</v>
      </c>
      <c r="G24" s="2" t="s">
        <v>857</v>
      </c>
      <c r="H24" s="19">
        <v>2018</v>
      </c>
      <c r="I24" s="2" t="s">
        <v>2</v>
      </c>
      <c r="K24" s="26">
        <v>6</v>
      </c>
      <c r="L24" s="18">
        <f>COUNTIFS(C3:C655, "6",D3:D655,"AGOSTO", I3:I655, "HOMBRE")</f>
        <v>0</v>
      </c>
      <c r="M24" s="18">
        <f>COUNTIFS(C3:C655, "6",D3:D655,"AGOSTO", I3:I655, "MUJER")</f>
        <v>2</v>
      </c>
      <c r="N24" s="18">
        <f t="shared" ref="N24:N32" si="7">SUM(L24:M24)</f>
        <v>2</v>
      </c>
      <c r="P24" s="26">
        <v>3</v>
      </c>
      <c r="Q24" s="18">
        <f>COUNTIFS(C3:C672, "3",D3:D672,"SEPTIEMBRE", I3:I672, "HOMBRE")</f>
        <v>1</v>
      </c>
      <c r="R24" s="18">
        <f>COUNTIFS(C3:C672, "3",D3:D672,"SEPTIEMBRE", I3:I672, "MUJER")</f>
        <v>2</v>
      </c>
      <c r="S24" s="18">
        <f t="shared" ref="S24:S34" si="8">SUM(Q24:R24)</f>
        <v>3</v>
      </c>
      <c r="U24" s="26">
        <v>3</v>
      </c>
      <c r="V24" s="18">
        <f>COUNTIFS(C3:C680, "3",D3:D680,"OCTUBRE", I3:I680, "HOMBRE")</f>
        <v>14</v>
      </c>
      <c r="W24" s="18">
        <f>COUNTIFS(C3:C680, "3",D3:D680,"OCTUBRE", I3:I680, "MUJER")</f>
        <v>16</v>
      </c>
      <c r="X24" s="18">
        <f t="shared" ref="X24:X37" si="9">SUM(V24:W24)</f>
        <v>30</v>
      </c>
      <c r="Z24" s="26">
        <v>5</v>
      </c>
      <c r="AA24" s="18">
        <f>COUNTIFS(C3:C687, "5",D3:D687,"NOVIEMBRE", I3:I687, "HOMBRE")</f>
        <v>2</v>
      </c>
      <c r="AB24" s="18">
        <f>COUNTIFS(C3:C687, "5",D3:D687,"OCTUBRE", I3:I687, "MUJER")</f>
        <v>0</v>
      </c>
      <c r="AC24" s="18">
        <f t="shared" ref="AC24:AC37" si="10">SUM(AA24:AB24)</f>
        <v>2</v>
      </c>
      <c r="AE24" s="26">
        <v>3</v>
      </c>
      <c r="AF24" s="18">
        <f>COUNTIFS(C3:C687, "3",D3:D687,"DICIEMBRE", I3:I687, "HOMBRE")</f>
        <v>1</v>
      </c>
      <c r="AG24" s="18">
        <f>COUNTIFS(C3:C687, "3",D3:D687,"DICIEMBRE", I3:I687, "MUJER")</f>
        <v>0</v>
      </c>
      <c r="AH24" s="18">
        <f t="shared" ref="AH24:AH37" si="11">SUM(AF24:AG24)</f>
        <v>1</v>
      </c>
    </row>
    <row r="25" spans="2:34" x14ac:dyDescent="0.25">
      <c r="B25" s="2" t="s">
        <v>31</v>
      </c>
      <c r="C25" s="2">
        <v>9</v>
      </c>
      <c r="D25" s="2" t="s">
        <v>856</v>
      </c>
      <c r="E25" s="21">
        <v>2019</v>
      </c>
      <c r="F25" s="2">
        <v>26</v>
      </c>
      <c r="G25" s="2" t="s">
        <v>858</v>
      </c>
      <c r="H25" s="19">
        <v>2018</v>
      </c>
      <c r="I25" s="2" t="s">
        <v>2</v>
      </c>
      <c r="K25" s="26">
        <v>7</v>
      </c>
      <c r="L25" s="18">
        <f>COUNTIFS(C3:C655, "7",D3:D655,"AGOSTO", I3:I655, "HOMBRE")</f>
        <v>1</v>
      </c>
      <c r="M25" s="18">
        <f>COUNTIFS(C3:C655, "7",D3:D655,"AGOSTO", I3:I655, "MUJER")</f>
        <v>0</v>
      </c>
      <c r="N25" s="18">
        <f t="shared" si="7"/>
        <v>1</v>
      </c>
      <c r="P25" s="26">
        <v>4</v>
      </c>
      <c r="Q25" s="18">
        <f>COUNTIFS(C3:C672, "4",D3:D672,"SEPTIEMBRE", I3:I672, "HOMBRE")</f>
        <v>2</v>
      </c>
      <c r="R25" s="18">
        <f>COUNTIFS(C3:C672, "4",D3:D672,"SEPTIEMBRE", I3:I672, "MUJER")</f>
        <v>4</v>
      </c>
      <c r="S25" s="18">
        <f t="shared" si="8"/>
        <v>6</v>
      </c>
      <c r="U25" s="26">
        <v>4</v>
      </c>
      <c r="V25" s="18">
        <f>COUNTIFS(C3:C680, "4",D3:D680,"OCTUBRE", I3:I680, "HOMBRE")</f>
        <v>2</v>
      </c>
      <c r="W25" s="18">
        <f>COUNTIFS(C3:C680, "4",D3:D680,"OCTUBRE", I3:I680, "MUJER")</f>
        <v>5</v>
      </c>
      <c r="X25" s="18">
        <f t="shared" si="9"/>
        <v>7</v>
      </c>
      <c r="Z25" s="26">
        <v>6</v>
      </c>
      <c r="AA25" s="18">
        <f>COUNTIFS(C3:C687, "6",D3:D687,"NOVIEMBRE", I3:I687, "HOMBRE")</f>
        <v>0</v>
      </c>
      <c r="AB25" s="18">
        <f>COUNTIFS(C3:C687, "6",D3:D687,"OCTUBRE", I3:I687, "MUJER")</f>
        <v>0</v>
      </c>
      <c r="AC25" s="18">
        <f t="shared" si="10"/>
        <v>0</v>
      </c>
      <c r="AE25" s="26">
        <v>4</v>
      </c>
      <c r="AF25" s="18">
        <f>COUNTIFS(C3:C687, "4",D3:D687,"DICIEMBRE", I3:I687, "HOMBRE")</f>
        <v>1</v>
      </c>
      <c r="AG25" s="18">
        <f>COUNTIFS(C3:C687, "4",D3:D687,"DICIEMBRE", I3:I687, "MUJER")</f>
        <v>1</v>
      </c>
      <c r="AH25" s="18">
        <f t="shared" si="11"/>
        <v>2</v>
      </c>
    </row>
    <row r="26" spans="2:34" x14ac:dyDescent="0.25">
      <c r="B26" s="2" t="s">
        <v>32</v>
      </c>
      <c r="C26" s="2">
        <v>14</v>
      </c>
      <c r="D26" s="2" t="s">
        <v>856</v>
      </c>
      <c r="E26" s="21">
        <v>2019</v>
      </c>
      <c r="F26" s="2">
        <v>7</v>
      </c>
      <c r="G26" s="2" t="s">
        <v>858</v>
      </c>
      <c r="H26" s="19">
        <v>2018</v>
      </c>
      <c r="I26" s="2" t="s">
        <v>3</v>
      </c>
      <c r="K26" s="26">
        <v>14</v>
      </c>
      <c r="L26" s="18">
        <f>COUNTIFS(C3:C655, "14",D3:D655,"AGOSTO", I3:I655, "HOMBRE")</f>
        <v>0</v>
      </c>
      <c r="M26" s="18">
        <f>COUNTIFS(C3:C655, "14",D3:D655,"AGOSTO", I3:I655, "MUJER")</f>
        <v>1</v>
      </c>
      <c r="N26" s="18">
        <f t="shared" si="7"/>
        <v>1</v>
      </c>
      <c r="P26" s="26">
        <v>5</v>
      </c>
      <c r="Q26" s="18">
        <f>COUNTIFS(C3:C672, "5",D3:D672,"SEPTIEMBRE", I3:I672, "HOMBRE")</f>
        <v>1</v>
      </c>
      <c r="R26" s="18">
        <f>COUNTIFS(C3:C672, "5",D3:D672,"SEPTIEMBRE", I3:I672, "MUJER")</f>
        <v>1</v>
      </c>
      <c r="S26" s="18">
        <f t="shared" si="8"/>
        <v>2</v>
      </c>
      <c r="U26" s="26">
        <v>7</v>
      </c>
      <c r="V26" s="18">
        <f>COUNTIFS(C3:C680, "7",D3:D680,"OCTUBRE", I3:I680, "HOMBRE")</f>
        <v>1</v>
      </c>
      <c r="W26" s="18">
        <f>COUNTIFS(C3:C680, "7",D3:D680,"OCTUBRE", I3:I680, "MUJER")</f>
        <v>0</v>
      </c>
      <c r="X26" s="18">
        <f t="shared" si="9"/>
        <v>1</v>
      </c>
      <c r="Z26" s="26">
        <v>7</v>
      </c>
      <c r="AA26" s="18">
        <f>COUNTIFS(C3:C687, "7",D3:D687,"NOVIEMBRE", I3:I687, "HOMBRE")</f>
        <v>0</v>
      </c>
      <c r="AB26" s="18">
        <f>COUNTIFS(C3:C687, "7",D3:D687,"OCTUBRE", I3:I687, "MUJER")</f>
        <v>0</v>
      </c>
      <c r="AC26" s="18">
        <f t="shared" si="10"/>
        <v>0</v>
      </c>
      <c r="AE26" s="26">
        <v>5</v>
      </c>
      <c r="AF26" s="18">
        <f>COUNTIFS(C3:C687, "5",D3:D687,"DICIEMBRE", I3:I687, "HOMBRE")</f>
        <v>1</v>
      </c>
      <c r="AG26" s="18">
        <f>COUNTIFS(C3:C687, "5",D3:D687,"DICIEMBRE", I3:I687, "MUJER")</f>
        <v>1</v>
      </c>
      <c r="AH26" s="18">
        <f t="shared" si="11"/>
        <v>2</v>
      </c>
    </row>
    <row r="27" spans="2:34" x14ac:dyDescent="0.25">
      <c r="B27" s="2" t="s">
        <v>33</v>
      </c>
      <c r="C27" s="2">
        <v>14</v>
      </c>
      <c r="D27" s="2" t="s">
        <v>856</v>
      </c>
      <c r="E27" s="21">
        <v>2019</v>
      </c>
      <c r="F27" s="2">
        <v>18</v>
      </c>
      <c r="G27" s="2" t="s">
        <v>899</v>
      </c>
      <c r="H27" s="19">
        <v>2014</v>
      </c>
      <c r="I27" s="2" t="s">
        <v>2</v>
      </c>
      <c r="K27" s="26">
        <v>19</v>
      </c>
      <c r="L27" s="18">
        <f>COUNTIFS(C3:C655, "19",D3:D655,"AGOSTO", I3:I655, "HOMBRE")</f>
        <v>1</v>
      </c>
      <c r="M27" s="18">
        <f>COUNTIFS(C3:C655, "19",D3:D655,"AGOSTO", I3:I655, "MUJER")</f>
        <v>2</v>
      </c>
      <c r="N27" s="18">
        <f t="shared" si="7"/>
        <v>3</v>
      </c>
      <c r="P27" s="26">
        <v>6</v>
      </c>
      <c r="Q27" s="18">
        <f>COUNTIFS(C3:C672, "6",D3:D672,"SEPTIEMBRE", I3:I672, "HOMBRE")</f>
        <v>3</v>
      </c>
      <c r="R27" s="18">
        <f>COUNTIFS(C3:C672, "6",D3:D672,"SEPTIEMBRE", I3:I672, "MUJER")</f>
        <v>0</v>
      </c>
      <c r="S27" s="18">
        <f t="shared" si="8"/>
        <v>3</v>
      </c>
      <c r="U27" s="26">
        <v>10</v>
      </c>
      <c r="V27" s="18">
        <f>COUNTIFS(C3:C680, "10",D3:D680,"OCTUBRE", I3:I680, "HOMBRE")</f>
        <v>0</v>
      </c>
      <c r="W27" s="18">
        <f>COUNTIFS(C3:C680, "10",D3:D680,"OCTUBRE", I3:I680, "MUJER")</f>
        <v>2</v>
      </c>
      <c r="X27" s="18">
        <f t="shared" si="9"/>
        <v>2</v>
      </c>
      <c r="Z27" s="26">
        <v>8</v>
      </c>
      <c r="AA27" s="18">
        <f>COUNTIFS(C3:C687, "8",D3:D687,"NOVIEMBRE", I3:I687, "HOMBRE")</f>
        <v>1</v>
      </c>
      <c r="AB27" s="18">
        <f>COUNTIFS(C3:C687, "8",D3:D687,"OCTUBRE", I3:I687, "MUJER")</f>
        <v>0</v>
      </c>
      <c r="AC27" s="18">
        <f t="shared" si="10"/>
        <v>1</v>
      </c>
      <c r="AE27" s="26">
        <v>11</v>
      </c>
      <c r="AF27" s="18">
        <f>COUNTIFS(C3:C687, "11",D3:D687,"DICIEMBRE", I3:I687, "HOMBRE")</f>
        <v>1</v>
      </c>
      <c r="AG27" s="18">
        <f>COUNTIFS(C3:C687, "11",D3:D687,"DICIEMBRE", I3:I687, "MUJER")</f>
        <v>1</v>
      </c>
      <c r="AH27" s="18">
        <f t="shared" si="11"/>
        <v>2</v>
      </c>
    </row>
    <row r="28" spans="2:34" x14ac:dyDescent="0.25">
      <c r="B28" s="2" t="s">
        <v>34</v>
      </c>
      <c r="C28" s="2">
        <v>14</v>
      </c>
      <c r="D28" s="2" t="s">
        <v>856</v>
      </c>
      <c r="E28" s="21">
        <v>2019</v>
      </c>
      <c r="F28" s="2">
        <v>26</v>
      </c>
      <c r="G28" s="2" t="s">
        <v>870</v>
      </c>
      <c r="H28" s="19">
        <v>2016</v>
      </c>
      <c r="I28" s="2" t="s">
        <v>2</v>
      </c>
      <c r="K28" s="26">
        <v>20</v>
      </c>
      <c r="L28" s="18">
        <f>COUNTIFS(C3:C655, "20",D3:D655,"AGOSTO", I3:I655, "HOMBRE")</f>
        <v>2</v>
      </c>
      <c r="M28" s="18">
        <f>COUNTIFS(C3:C655, "20",D3:D655,"AGOSTO", I3:I655, "MUJER")</f>
        <v>1</v>
      </c>
      <c r="N28" s="18">
        <f t="shared" si="7"/>
        <v>3</v>
      </c>
      <c r="P28" s="26">
        <v>17</v>
      </c>
      <c r="Q28" s="18">
        <f>COUNTIFS(C3:C672, "17",D3:D672,"SEPTIEMBRE", I3:I672, "HOMBRE")</f>
        <v>2</v>
      </c>
      <c r="R28" s="18">
        <f>COUNTIFS(C3:C672, "17",D3:D672,"SEPTIEMBRE", I8:I677, "MUJER")</f>
        <v>3</v>
      </c>
      <c r="S28" s="18">
        <f t="shared" si="8"/>
        <v>5</v>
      </c>
      <c r="U28" s="26">
        <v>11</v>
      </c>
      <c r="V28" s="18">
        <f>COUNTIFS(C3:C680, "11",D3:D680,"OCTUBRE", I3:I680, "HOMBRE")</f>
        <v>2</v>
      </c>
      <c r="W28" s="18">
        <f>COUNTIFS(C3:C680, "11",D3:D680,"OCTUBRE", I3:I680, "MUJER")</f>
        <v>3</v>
      </c>
      <c r="X28" s="18">
        <f t="shared" si="9"/>
        <v>5</v>
      </c>
      <c r="Z28" s="26">
        <v>11</v>
      </c>
      <c r="AA28" s="18">
        <f>COUNTIFS(C3:C687, "11",D3:D687,"NOVIEMBRE", I3:I687, "HOMBRE")</f>
        <v>1</v>
      </c>
      <c r="AB28" s="18">
        <f>COUNTIFS(C3:C687, "11",D3:D687,"OCTUBRE", I3:I687, "MUJER")</f>
        <v>3</v>
      </c>
      <c r="AC28" s="18">
        <f t="shared" si="10"/>
        <v>4</v>
      </c>
      <c r="AE28" s="26">
        <v>12</v>
      </c>
      <c r="AF28" s="18">
        <f>COUNTIFS(C3:C687, "12",D3:D687,"DICIEMBRE", I3:I687, "HOMBRE")</f>
        <v>0</v>
      </c>
      <c r="AG28" s="18">
        <f>COUNTIFS(C3:C687, "12",D3:D687,"DICIEMBRE", I3:I687, "MUJER")</f>
        <v>1</v>
      </c>
      <c r="AH28" s="18">
        <f t="shared" si="11"/>
        <v>1</v>
      </c>
    </row>
    <row r="29" spans="2:34" x14ac:dyDescent="0.25">
      <c r="B29" s="2" t="s">
        <v>35</v>
      </c>
      <c r="C29" s="2">
        <v>21</v>
      </c>
      <c r="D29" s="2" t="s">
        <v>856</v>
      </c>
      <c r="E29" s="21">
        <v>2019</v>
      </c>
      <c r="F29" s="2">
        <v>30</v>
      </c>
      <c r="G29" s="2" t="s">
        <v>858</v>
      </c>
      <c r="H29" s="19">
        <v>2018</v>
      </c>
      <c r="I29" s="2" t="s">
        <v>3</v>
      </c>
      <c r="K29" s="26">
        <v>21</v>
      </c>
      <c r="L29" s="18">
        <f>COUNTIFS(C3:C655, "21",D3:D655,"AGOSTO", I3:I655, "HOMBRE")</f>
        <v>2</v>
      </c>
      <c r="M29" s="18">
        <f>COUNTIFS(C3:C655, "221",D3:D655,"AGOSTO", I3:I655, "MUJER")</f>
        <v>0</v>
      </c>
      <c r="N29" s="18">
        <f t="shared" si="7"/>
        <v>2</v>
      </c>
      <c r="P29" s="26">
        <v>19</v>
      </c>
      <c r="Q29" s="18">
        <f>COUNTIFS(C3:C672, "19",D3:D672,"SEPTIEMBRE", I3:I672, "HOMBRE")</f>
        <v>0</v>
      </c>
      <c r="R29" s="18">
        <f>COUNTIFS(C3:C672, "19",D3:D672,"SEPTIEMBRE", I3:I672, "MUJER")</f>
        <v>3</v>
      </c>
      <c r="S29" s="18">
        <f t="shared" si="8"/>
        <v>3</v>
      </c>
      <c r="U29" s="26">
        <v>17</v>
      </c>
      <c r="V29" s="18">
        <f>COUNTIFS(C3:C680, "17",D3:D680,"OCTUBRE", I3:I680, "HOMBRE")</f>
        <v>3</v>
      </c>
      <c r="W29" s="18">
        <f>COUNTIFS(C3:C680, "17",D3:D680,"OCTUBRE", I3:I680, "MUJER")</f>
        <v>0</v>
      </c>
      <c r="X29" s="18">
        <f t="shared" si="9"/>
        <v>3</v>
      </c>
      <c r="Z29" s="26">
        <v>12</v>
      </c>
      <c r="AA29" s="18">
        <f>COUNTIFS(C3:C687, "12",D3:D687,"NOVIEMBRE", I3:I687, "HOMBRE")</f>
        <v>0</v>
      </c>
      <c r="AB29" s="18">
        <f>COUNTIFS(C3:C687, "12",D3:D687,"OCTUBRE", I3:I687, "MUJER")</f>
        <v>0</v>
      </c>
      <c r="AC29" s="18">
        <f t="shared" si="10"/>
        <v>0</v>
      </c>
      <c r="AE29" s="26">
        <v>13</v>
      </c>
      <c r="AF29" s="18">
        <f>COUNTIFS(C3:C687, "13",D3:D687,"DICIEMBRE", I3:I687, "HOMBRE")</f>
        <v>2</v>
      </c>
      <c r="AG29" s="18">
        <f>COUNTIFS(C3:C687, "13",D3:D687,"DICIEMBRE", I3:I687, "MUJER")</f>
        <v>1</v>
      </c>
      <c r="AH29" s="18">
        <f t="shared" si="11"/>
        <v>3</v>
      </c>
    </row>
    <row r="30" spans="2:34" x14ac:dyDescent="0.25">
      <c r="B30" s="2" t="s">
        <v>36</v>
      </c>
      <c r="C30" s="2">
        <v>21</v>
      </c>
      <c r="D30" s="2" t="s">
        <v>856</v>
      </c>
      <c r="E30" s="21">
        <v>2019</v>
      </c>
      <c r="F30" s="2">
        <v>7</v>
      </c>
      <c r="G30" s="2" t="s">
        <v>857</v>
      </c>
      <c r="H30" s="19">
        <v>2018</v>
      </c>
      <c r="I30" s="2" t="s">
        <v>2</v>
      </c>
      <c r="K30" s="26">
        <v>27</v>
      </c>
      <c r="L30" s="18">
        <f>COUNTIFS(C3:C655, "27",D3:D655,"AGOSTO", I3:I655, "HOMBRE")</f>
        <v>2</v>
      </c>
      <c r="M30" s="18">
        <f>COUNTIFS(C3:C655, "27",D3:D655,"AGOSTO", I3:I655, "MUJER")</f>
        <v>0</v>
      </c>
      <c r="N30" s="18">
        <f t="shared" si="7"/>
        <v>2</v>
      </c>
      <c r="P30" s="26">
        <v>20</v>
      </c>
      <c r="Q30" s="18">
        <f>COUNTIFS(C3:C672, "20",D3:D672,"SEPTIEMBRE", I3:I672, "HOMBRE")</f>
        <v>0</v>
      </c>
      <c r="R30" s="18">
        <f>COUNTIFS(C3:C672, "20",D3:D672,"SEPTIEMBRE", I3:I672, "MUJER")</f>
        <v>1</v>
      </c>
      <c r="S30" s="18">
        <f t="shared" si="8"/>
        <v>1</v>
      </c>
      <c r="U30" s="26">
        <v>18</v>
      </c>
      <c r="V30" s="18">
        <f>COUNTIFS(C3:C680, "18",D3:D680,"OCTUBRE", I3:I680, "HOMBRE")</f>
        <v>1</v>
      </c>
      <c r="W30" s="18">
        <f>COUNTIFS(C3:C680, "18",D3:D680,"OCTUBRE", I3:I680, "MUJER")</f>
        <v>1</v>
      </c>
      <c r="X30" s="18">
        <f t="shared" si="9"/>
        <v>2</v>
      </c>
      <c r="Z30" s="26">
        <v>13</v>
      </c>
      <c r="AA30" s="18">
        <f>COUNTIFS(C3:C687, "13",D3:D687,"NOVIEMBRE", I3:I687, "HOMBRE")</f>
        <v>2</v>
      </c>
      <c r="AB30" s="18">
        <f>COUNTIFS(C3:C687, "13",D3:D687,"OCTUBRE", I3:I687, "MUJER")</f>
        <v>0</v>
      </c>
      <c r="AC30" s="18">
        <f t="shared" si="10"/>
        <v>2</v>
      </c>
      <c r="AE30" s="26">
        <v>16</v>
      </c>
      <c r="AF30" s="18">
        <f>COUNTIFS(C3:C687, "16",D3:D687,"DICIEMBRE", I3:I687, "HOMBRE")</f>
        <v>1</v>
      </c>
      <c r="AG30" s="18">
        <f>COUNTIFS(C3:C687, "16",D3:D687,"DICIEMBRE", I3:I687, "MUJER")</f>
        <v>2</v>
      </c>
      <c r="AH30" s="18">
        <f t="shared" si="11"/>
        <v>3</v>
      </c>
    </row>
    <row r="31" spans="2:34" x14ac:dyDescent="0.25">
      <c r="B31" s="2" t="s">
        <v>37</v>
      </c>
      <c r="C31" s="2">
        <v>21</v>
      </c>
      <c r="D31" s="2" t="s">
        <v>856</v>
      </c>
      <c r="E31" s="21">
        <v>2019</v>
      </c>
      <c r="F31" s="2">
        <v>16</v>
      </c>
      <c r="G31" s="2" t="s">
        <v>856</v>
      </c>
      <c r="H31" s="19">
        <v>2019</v>
      </c>
      <c r="I31" s="2" t="s">
        <v>3</v>
      </c>
      <c r="K31" s="26">
        <v>28</v>
      </c>
      <c r="L31" s="18">
        <f>COUNTIFS(C3:C655, "28",D3:D655,"AGOSTO", I3:I655, "HOMBRE")</f>
        <v>1</v>
      </c>
      <c r="M31" s="18">
        <f>COUNTIFS(C3:C655, "28",D3:D655,"AGOSTO", I3:I655, "MUJER")</f>
        <v>3</v>
      </c>
      <c r="N31" s="18">
        <f t="shared" si="7"/>
        <v>4</v>
      </c>
      <c r="P31" s="26">
        <v>23</v>
      </c>
      <c r="Q31" s="18">
        <f>COUNTIFS(C3:C672, "23",D3:D672,"SEPTIEMBRE", I3:I672, "HOMBRE")</f>
        <v>1</v>
      </c>
      <c r="R31" s="18">
        <f>COUNTIFS(C3:C672, "23",D3:D672,"SEPTIEMBRE", I3:I672, "MUJER")</f>
        <v>1</v>
      </c>
      <c r="S31" s="18">
        <f t="shared" si="8"/>
        <v>2</v>
      </c>
      <c r="U31" s="26">
        <v>21</v>
      </c>
      <c r="V31" s="18">
        <f>COUNTIFS(C3:C680, "21",D3:D680,"OCTUBRE", I3:I680, "HOMBRE")</f>
        <v>1</v>
      </c>
      <c r="W31" s="18">
        <f>COUNTIFS(C3:C680, "21",D3:D680,"OCTUBRE", I3:I680, "MUJER")</f>
        <v>1</v>
      </c>
      <c r="X31" s="18">
        <f t="shared" si="9"/>
        <v>2</v>
      </c>
      <c r="Z31" s="26">
        <v>14</v>
      </c>
      <c r="AA31" s="18">
        <f>COUNTIFS(C3:C687, "14",D3:D687,"NOVIEMBRE", I3:I687, "HOMBRE")</f>
        <v>2</v>
      </c>
      <c r="AB31" s="18">
        <f>COUNTIFS(C3:C687, "14",D3:D687,"OCTUBRE", I3:I687, "MUJER")</f>
        <v>0</v>
      </c>
      <c r="AC31" s="18">
        <f t="shared" si="10"/>
        <v>2</v>
      </c>
      <c r="AE31" s="26">
        <v>17</v>
      </c>
      <c r="AF31" s="18">
        <f>COUNTIFS(C3:C687, "17",D3:D687,"DICIEMBRE", I3:I687, "HOMBRE")</f>
        <v>0</v>
      </c>
      <c r="AG31" s="18">
        <f>COUNTIFS(C3:C687, "17",D3:D687,"DICIEMBRE", I3:I687, "MUJER")</f>
        <v>2</v>
      </c>
      <c r="AH31" s="18">
        <f t="shared" si="11"/>
        <v>2</v>
      </c>
    </row>
    <row r="32" spans="2:34" x14ac:dyDescent="0.25">
      <c r="B32" s="2" t="s">
        <v>38</v>
      </c>
      <c r="C32" s="2">
        <v>22</v>
      </c>
      <c r="D32" s="2" t="s">
        <v>856</v>
      </c>
      <c r="E32" s="21">
        <v>2019</v>
      </c>
      <c r="F32" s="2">
        <v>5</v>
      </c>
      <c r="G32" s="2" t="s">
        <v>869</v>
      </c>
      <c r="H32" s="19">
        <v>2018</v>
      </c>
      <c r="I32" s="2" t="s">
        <v>3</v>
      </c>
      <c r="K32" s="26">
        <v>30</v>
      </c>
      <c r="L32" s="18">
        <f>COUNTIFS(C3:C655, "30",D3:D655,"AGOSTO", I3:I655, "HOMBRE")</f>
        <v>1</v>
      </c>
      <c r="M32" s="18">
        <f>COUNTIFS(C3:C655, "30",D3:D655,"AGOSTO", I3:I655, "MUJER")</f>
        <v>1</v>
      </c>
      <c r="N32" s="18">
        <f t="shared" si="7"/>
        <v>2</v>
      </c>
      <c r="P32" s="26">
        <v>24</v>
      </c>
      <c r="Q32" s="18">
        <f>COUNTIFS(C3:C672, "24",D3:D672,"SEPTIEMBRE", I3:I672, "HOMBRE")</f>
        <v>2</v>
      </c>
      <c r="R32" s="18">
        <f>COUNTIFS(C3:C672, "24",D3:D672,"SEPTIEMBRE", I3:I672, "MUJER")</f>
        <v>2</v>
      </c>
      <c r="S32" s="18">
        <f t="shared" si="8"/>
        <v>4</v>
      </c>
      <c r="U32" s="26">
        <v>22</v>
      </c>
      <c r="V32" s="18">
        <f>COUNTIFS(C3:C680, "22",D3:D680,"OCTUBRE", I3:I680, "HOMBRE")</f>
        <v>0</v>
      </c>
      <c r="W32" s="18">
        <f>COUNTIFS(C3:C680, "22",D3:D680,"OCTUBRE", I3:I680, "MUJER")</f>
        <v>2</v>
      </c>
      <c r="X32" s="18">
        <f t="shared" si="9"/>
        <v>2</v>
      </c>
      <c r="Z32" s="26">
        <v>15</v>
      </c>
      <c r="AA32" s="18">
        <f>COUNTIFS(C3:C687, "15",D3:D687,"NOVIEMBRE", I3:I687, "HOMBRE")</f>
        <v>3</v>
      </c>
      <c r="AB32" s="18">
        <f>COUNTIFS(C3:C687, "15",D3:D687,"OCTUBRE", I3:I687, "MUJER")</f>
        <v>0</v>
      </c>
      <c r="AC32" s="18">
        <f t="shared" si="10"/>
        <v>3</v>
      </c>
      <c r="AE32" s="26">
        <v>18</v>
      </c>
      <c r="AF32" s="18">
        <f>COUNTIFS(C3:C687, "18",D3:D687,"DICIEMBRE", I3:I687, "HOMBRE")</f>
        <v>3</v>
      </c>
      <c r="AG32" s="18">
        <f>COUNTIFS(C3:C687, "18",D3:D687,"DICIEMBRE", I3:I687, "MUJER")</f>
        <v>3</v>
      </c>
      <c r="AH32" s="18">
        <f t="shared" si="11"/>
        <v>6</v>
      </c>
    </row>
    <row r="33" spans="2:34" x14ac:dyDescent="0.25">
      <c r="B33" s="2" t="s">
        <v>39</v>
      </c>
      <c r="C33" s="2">
        <v>22</v>
      </c>
      <c r="D33" s="2" t="s">
        <v>856</v>
      </c>
      <c r="E33" s="21">
        <v>2019</v>
      </c>
      <c r="F33" s="2">
        <v>26</v>
      </c>
      <c r="G33" s="2" t="s">
        <v>857</v>
      </c>
      <c r="H33" s="19">
        <v>2018</v>
      </c>
      <c r="I33" s="2" t="s">
        <v>3</v>
      </c>
      <c r="K33" s="46" t="s">
        <v>871</v>
      </c>
      <c r="L33" s="46"/>
      <c r="M33" s="46"/>
      <c r="N33" s="28">
        <f>SUM(N23:N32)</f>
        <v>21</v>
      </c>
      <c r="P33" s="26">
        <v>27</v>
      </c>
      <c r="Q33" s="18">
        <f>COUNTIFS(C3:C672, "27",D3:D672,"SEPTIEMBRE", I3:I672, "HOMBRE")</f>
        <v>2</v>
      </c>
      <c r="R33" s="18">
        <f>COUNTIFS(C3:C672, "27",D3:D672,"SEPTIEMBRE", I3:I672, "MUJER")</f>
        <v>2</v>
      </c>
      <c r="S33" s="18">
        <f t="shared" si="8"/>
        <v>4</v>
      </c>
      <c r="U33" s="26">
        <v>24</v>
      </c>
      <c r="V33" s="18">
        <f>COUNTIFS(C3:C680, "24",D3:D680,"OCTUBRE", I3:I680, "HOMBRE")</f>
        <v>1</v>
      </c>
      <c r="W33" s="18">
        <f>COUNTIFS(C3:C680, "24",D3:D680,"OCTUBRE", I3:I680, "MUJER")</f>
        <v>0</v>
      </c>
      <c r="X33" s="18">
        <f t="shared" si="9"/>
        <v>1</v>
      </c>
      <c r="Z33" s="26">
        <v>20</v>
      </c>
      <c r="AA33" s="18">
        <f>COUNTIFS(C3:C687, "20",D3:D687,"NOVIEMBRE", I3:I687, "HOMBRE")</f>
        <v>1</v>
      </c>
      <c r="AB33" s="18">
        <f>COUNTIFS(C3:C687, "20",D3:D687,"OCTUBRE", I3:I687, "MUJER")</f>
        <v>0</v>
      </c>
      <c r="AC33" s="18">
        <f t="shared" si="10"/>
        <v>1</v>
      </c>
      <c r="AE33" s="26">
        <v>19</v>
      </c>
      <c r="AF33" s="18">
        <f>COUNTIFS(C3:C687, "19",D3:D687,"DICIEMBRE", I3:I687, "HOMBRE")</f>
        <v>1</v>
      </c>
      <c r="AG33" s="18">
        <f>COUNTIFS(C3:C687, "19",D3:D687,"DICIEMBRE", I3:I687, "MUJER")</f>
        <v>2</v>
      </c>
      <c r="AH33" s="18">
        <f t="shared" si="11"/>
        <v>3</v>
      </c>
    </row>
    <row r="34" spans="2:34" x14ac:dyDescent="0.25">
      <c r="B34" s="2" t="s">
        <v>40</v>
      </c>
      <c r="C34" s="2">
        <v>22</v>
      </c>
      <c r="D34" s="2" t="s">
        <v>856</v>
      </c>
      <c r="E34" s="21">
        <v>2019</v>
      </c>
      <c r="F34" s="2">
        <v>27</v>
      </c>
      <c r="G34" s="2" t="s">
        <v>866</v>
      </c>
      <c r="H34" s="19">
        <v>2018</v>
      </c>
      <c r="I34" s="2" t="s">
        <v>2</v>
      </c>
      <c r="P34" s="26">
        <v>30</v>
      </c>
      <c r="Q34" s="18">
        <f>COUNTIFS(C3:C672, "30",D3:D672,"SEPTIEMBRE", I3:I672, "HOMBRE")</f>
        <v>3</v>
      </c>
      <c r="R34" s="18">
        <f>COUNTIFS(C3:C672, "30",D3:D672,"SEPTIEMBRE", I3:I672, "MUJER")</f>
        <v>2</v>
      </c>
      <c r="S34" s="18">
        <f t="shared" si="8"/>
        <v>5</v>
      </c>
      <c r="U34" s="26">
        <v>25</v>
      </c>
      <c r="V34" s="18">
        <f>COUNTIFS(C3:C680, "25",D3:D680,"OCTUBRE", I3:I680, "HOMBRE")</f>
        <v>1</v>
      </c>
      <c r="W34" s="18">
        <f>COUNTIFS(C3:C680, "25",D3:D680,"OCTUBRE", I3:I680, "MUJER")</f>
        <v>3</v>
      </c>
      <c r="X34" s="18">
        <f t="shared" si="9"/>
        <v>4</v>
      </c>
      <c r="Z34" s="26">
        <v>21</v>
      </c>
      <c r="AA34" s="18">
        <f>COUNTIFS(C3:C687, "21",D3:D687,"NOVIEMBRE", I3:I687, "HOMBRE")</f>
        <v>2</v>
      </c>
      <c r="AB34" s="18">
        <f>COUNTIFS(C3:C687, "21",D3:D687,"OCTUBRE", I3:I687, "MUJER")</f>
        <v>1</v>
      </c>
      <c r="AC34" s="18">
        <f t="shared" si="10"/>
        <v>3</v>
      </c>
      <c r="AE34" s="26">
        <v>20</v>
      </c>
      <c r="AF34" s="18">
        <f>COUNTIFS(C3:C687, "20",D3:D687,"DICIEMBRE", I3:I687, "HOMBRE")</f>
        <v>2</v>
      </c>
      <c r="AG34" s="18">
        <f>COUNTIFS(C3:C687, "20",D3:D687,"DICIEMBRE", I3:I687, "MUJER")</f>
        <v>1</v>
      </c>
      <c r="AH34" s="18">
        <f t="shared" si="11"/>
        <v>3</v>
      </c>
    </row>
    <row r="35" spans="2:34" x14ac:dyDescent="0.25">
      <c r="B35" s="2" t="s">
        <v>41</v>
      </c>
      <c r="C35" s="2">
        <v>22</v>
      </c>
      <c r="D35" s="2" t="s">
        <v>856</v>
      </c>
      <c r="E35" s="21">
        <v>2019</v>
      </c>
      <c r="F35" s="2">
        <v>2</v>
      </c>
      <c r="G35" s="2" t="s">
        <v>865</v>
      </c>
      <c r="H35" s="19">
        <v>2018</v>
      </c>
      <c r="I35" s="2" t="s">
        <v>2</v>
      </c>
      <c r="P35" s="46" t="s">
        <v>871</v>
      </c>
      <c r="Q35" s="46"/>
      <c r="R35" s="46"/>
      <c r="S35" s="25">
        <f>SUM(S23:S34)</f>
        <v>42</v>
      </c>
      <c r="U35" s="26">
        <v>28</v>
      </c>
      <c r="V35" s="18">
        <f>COUNTIFS(C3:C680, "28",D3:D680,"OCTUBRE", I3:I680, "HOMBRE")</f>
        <v>3</v>
      </c>
      <c r="W35" s="18">
        <f>COUNTIFS(C3:C680, "28",D3:D680,"OCTUBRE", I3:I680, "MUJER")</f>
        <v>5</v>
      </c>
      <c r="X35" s="18">
        <f t="shared" si="9"/>
        <v>8</v>
      </c>
      <c r="Z35" s="26">
        <v>26</v>
      </c>
      <c r="AA35" s="18">
        <f>COUNTIFS(C3:C687, "26",D3:D687,"NOVIEMBRE", I3:I687, "HOMBRE")</f>
        <v>1</v>
      </c>
      <c r="AB35" s="18">
        <f>COUNTIFS(C3:C687, "26",D3:D687,"OCTUBRE", I3:I687, "MUJER")</f>
        <v>0</v>
      </c>
      <c r="AC35" s="18">
        <f t="shared" si="10"/>
        <v>1</v>
      </c>
      <c r="AE35" s="26">
        <v>23</v>
      </c>
      <c r="AF35" s="18">
        <f>COUNTIFS(C3:C687, "23",D3:D687,"DICIEMBRE", I3:I687, "HOMBRE")</f>
        <v>0</v>
      </c>
      <c r="AG35" s="18">
        <f>COUNTIFS(C3:C687, "23",D3:D687,"DICIEMBRE", I3:I687, "MUJER")</f>
        <v>1</v>
      </c>
      <c r="AH35" s="18">
        <f t="shared" si="11"/>
        <v>1</v>
      </c>
    </row>
    <row r="36" spans="2:34" x14ac:dyDescent="0.25">
      <c r="B36" s="2" t="s">
        <v>42</v>
      </c>
      <c r="C36" s="2">
        <v>22</v>
      </c>
      <c r="D36" s="2" t="s">
        <v>856</v>
      </c>
      <c r="E36" s="21">
        <v>2019</v>
      </c>
      <c r="F36" s="2">
        <v>11</v>
      </c>
      <c r="G36" s="2" t="s">
        <v>861</v>
      </c>
      <c r="H36" s="19">
        <v>2018</v>
      </c>
      <c r="I36" s="2" t="s">
        <v>2</v>
      </c>
      <c r="U36" s="26">
        <v>30</v>
      </c>
      <c r="V36" s="18">
        <f>COUNTIFS(C3:C680, "30",D3:D680,"OCTUBRE", I3:I680, "HOMBRE")</f>
        <v>1</v>
      </c>
      <c r="W36" s="18">
        <f>COUNTIFS(C3:C680, "30",D3:D680,"OCTUBRE", I3:I680, "MUJER")</f>
        <v>0</v>
      </c>
      <c r="X36" s="18">
        <f t="shared" si="9"/>
        <v>1</v>
      </c>
      <c r="Z36" s="26">
        <v>27</v>
      </c>
      <c r="AA36" s="18">
        <f>COUNTIFS(C3:C687, "27",D3:D687,"NOVIEMBRE", I3:I687, "HOMBRE")</f>
        <v>2</v>
      </c>
      <c r="AB36" s="18">
        <f>COUNTIFS(C3:C687, "27",D3:D687,"OCTUBRE", I3:I687, "MUJER")</f>
        <v>0</v>
      </c>
      <c r="AC36" s="18">
        <f t="shared" si="10"/>
        <v>2</v>
      </c>
      <c r="AE36" s="26">
        <v>27</v>
      </c>
      <c r="AF36" s="18">
        <f>COUNTIFS(C3:C687, "27",D3:D687,"DICIEMBRE", I3:I687, "HOMBRE")</f>
        <v>0</v>
      </c>
      <c r="AG36" s="18">
        <f>COUNTIFS(C3:C687, "27",D3:D687,"DICIEMBRE", I3:I687, "MUJER")</f>
        <v>2</v>
      </c>
      <c r="AH36" s="18">
        <f t="shared" si="11"/>
        <v>2</v>
      </c>
    </row>
    <row r="37" spans="2:34" x14ac:dyDescent="0.25">
      <c r="B37" s="2" t="s">
        <v>43</v>
      </c>
      <c r="C37" s="2">
        <v>23</v>
      </c>
      <c r="D37" s="2" t="s">
        <v>856</v>
      </c>
      <c r="E37" s="21">
        <v>2019</v>
      </c>
      <c r="F37" s="2">
        <v>11</v>
      </c>
      <c r="G37" s="2" t="s">
        <v>899</v>
      </c>
      <c r="H37" s="19">
        <v>2018</v>
      </c>
      <c r="I37" s="2" t="s">
        <v>2</v>
      </c>
      <c r="U37" s="26">
        <v>31</v>
      </c>
      <c r="V37" s="18">
        <f>COUNTIFS(C3:C680, "31",D3:D680,"OCTUBRE", I3:I680, "HOMBRE")</f>
        <v>3</v>
      </c>
      <c r="W37" s="18">
        <f>COUNTIFS(C3:C680, "31",D3:D680,"OCTUBRE", I3:I680, "MUJER")</f>
        <v>1</v>
      </c>
      <c r="X37" s="18">
        <f t="shared" si="9"/>
        <v>4</v>
      </c>
      <c r="Z37" s="26">
        <v>28</v>
      </c>
      <c r="AA37" s="18">
        <f>COUNTIFS(C3:C687, "28",D3:D687,"NOVIEMBRE", I3:I687, "HOMBRE")</f>
        <v>1</v>
      </c>
      <c r="AB37" s="18">
        <f>COUNTIFS(C3:C687, "28",D3:D687,"OCTUBRE", I3:I687, "MUJER")</f>
        <v>5</v>
      </c>
      <c r="AC37" s="18">
        <f t="shared" si="10"/>
        <v>6</v>
      </c>
      <c r="AE37" s="26">
        <v>30</v>
      </c>
      <c r="AF37" s="18">
        <f>COUNTIFS(C3:C687, "30",D3:D687,"DICIEMBRE", I3:I687, "HOMBRE")</f>
        <v>1</v>
      </c>
      <c r="AG37" s="18">
        <f>COUNTIFS(C3:C687, "30",D3:D687,"DICIEMBRE", I3:I687, "MUJER")</f>
        <v>1</v>
      </c>
      <c r="AH37" s="18">
        <f t="shared" si="11"/>
        <v>2</v>
      </c>
    </row>
    <row r="38" spans="2:34" x14ac:dyDescent="0.25">
      <c r="B38" s="2" t="s">
        <v>44</v>
      </c>
      <c r="C38" s="2">
        <v>23</v>
      </c>
      <c r="D38" s="2" t="s">
        <v>856</v>
      </c>
      <c r="E38" s="21">
        <v>2019</v>
      </c>
      <c r="F38" s="2">
        <v>4</v>
      </c>
      <c r="G38" s="2" t="s">
        <v>858</v>
      </c>
      <c r="H38" s="19">
        <v>2017</v>
      </c>
      <c r="I38" s="2" t="s">
        <v>2</v>
      </c>
      <c r="U38" s="46" t="s">
        <v>871</v>
      </c>
      <c r="V38" s="46"/>
      <c r="W38" s="46"/>
      <c r="X38" s="25">
        <f>SUM(X23:X37)</f>
        <v>75</v>
      </c>
      <c r="Z38" s="46" t="s">
        <v>871</v>
      </c>
      <c r="AA38" s="46"/>
      <c r="AB38" s="46"/>
      <c r="AC38" s="25">
        <f>SUM(AC23:AC37)</f>
        <v>32</v>
      </c>
      <c r="AE38" s="46" t="s">
        <v>871</v>
      </c>
      <c r="AF38" s="46"/>
      <c r="AG38" s="46"/>
      <c r="AH38" s="25">
        <f>SUM(AH23:AH37)</f>
        <v>34</v>
      </c>
    </row>
    <row r="39" spans="2:34" x14ac:dyDescent="0.25">
      <c r="B39" s="2" t="s">
        <v>45</v>
      </c>
      <c r="C39" s="2">
        <v>23</v>
      </c>
      <c r="D39" s="2" t="s">
        <v>856</v>
      </c>
      <c r="E39" s="21">
        <v>2019</v>
      </c>
      <c r="F39" s="2">
        <v>6</v>
      </c>
      <c r="G39" s="2" t="s">
        <v>856</v>
      </c>
      <c r="H39" s="19">
        <v>2019</v>
      </c>
      <c r="I39" s="2" t="s">
        <v>3</v>
      </c>
    </row>
    <row r="40" spans="2:34" x14ac:dyDescent="0.25">
      <c r="B40" s="2" t="s">
        <v>46</v>
      </c>
      <c r="C40" s="2">
        <v>24</v>
      </c>
      <c r="D40" s="2" t="s">
        <v>856</v>
      </c>
      <c r="E40" s="21">
        <v>2019</v>
      </c>
      <c r="F40" s="2">
        <v>26</v>
      </c>
      <c r="G40" s="2" t="s">
        <v>868</v>
      </c>
      <c r="H40" s="19">
        <v>2018</v>
      </c>
      <c r="I40" s="2" t="s">
        <v>2</v>
      </c>
    </row>
    <row r="41" spans="2:34" x14ac:dyDescent="0.25">
      <c r="B41" s="2" t="s">
        <v>47</v>
      </c>
      <c r="C41" s="2">
        <v>24</v>
      </c>
      <c r="D41" s="2" t="s">
        <v>856</v>
      </c>
      <c r="E41" s="21">
        <v>2019</v>
      </c>
      <c r="F41" s="2">
        <v>27</v>
      </c>
      <c r="G41" s="2" t="s">
        <v>865</v>
      </c>
      <c r="H41" s="19">
        <v>2018</v>
      </c>
      <c r="I41" s="2" t="s">
        <v>3</v>
      </c>
    </row>
    <row r="42" spans="2:34" x14ac:dyDescent="0.25">
      <c r="B42" s="2" t="s">
        <v>48</v>
      </c>
      <c r="C42" s="2">
        <v>24</v>
      </c>
      <c r="D42" s="2" t="s">
        <v>856</v>
      </c>
      <c r="E42" s="21">
        <v>2019</v>
      </c>
      <c r="F42" s="2">
        <v>20</v>
      </c>
      <c r="G42" s="2" t="s">
        <v>865</v>
      </c>
      <c r="H42" s="19">
        <v>2017</v>
      </c>
      <c r="I42" s="2" t="s">
        <v>2</v>
      </c>
    </row>
    <row r="43" spans="2:34" x14ac:dyDescent="0.25">
      <c r="B43" s="2" t="s">
        <v>49</v>
      </c>
      <c r="C43" s="2">
        <v>24</v>
      </c>
      <c r="D43" s="2" t="s">
        <v>856</v>
      </c>
      <c r="E43" s="21">
        <v>2019</v>
      </c>
      <c r="F43" s="2">
        <v>17</v>
      </c>
      <c r="G43" s="2" t="s">
        <v>870</v>
      </c>
      <c r="H43" s="19">
        <v>2018</v>
      </c>
      <c r="I43" s="2" t="s">
        <v>2</v>
      </c>
    </row>
    <row r="44" spans="2:34" x14ac:dyDescent="0.25">
      <c r="B44" s="2" t="s">
        <v>50</v>
      </c>
      <c r="C44" s="2">
        <v>24</v>
      </c>
      <c r="D44" s="2" t="s">
        <v>856</v>
      </c>
      <c r="E44" s="21">
        <v>2019</v>
      </c>
      <c r="F44" s="2">
        <v>26</v>
      </c>
      <c r="G44" s="2" t="s">
        <v>870</v>
      </c>
      <c r="H44" s="19">
        <v>2018</v>
      </c>
      <c r="I44" s="2" t="s">
        <v>2</v>
      </c>
    </row>
    <row r="45" spans="2:34" x14ac:dyDescent="0.25">
      <c r="B45" s="2" t="s">
        <v>51</v>
      </c>
      <c r="C45" s="2">
        <v>24</v>
      </c>
      <c r="D45" s="2" t="s">
        <v>856</v>
      </c>
      <c r="E45" s="21">
        <v>2019</v>
      </c>
      <c r="F45" s="2">
        <v>26</v>
      </c>
      <c r="G45" s="2" t="s">
        <v>858</v>
      </c>
      <c r="H45" s="19">
        <v>2017</v>
      </c>
      <c r="I45" s="2" t="s">
        <v>3</v>
      </c>
    </row>
    <row r="46" spans="2:34" x14ac:dyDescent="0.25">
      <c r="B46" s="2" t="s">
        <v>52</v>
      </c>
      <c r="C46" s="2">
        <v>28</v>
      </c>
      <c r="D46" s="2" t="s">
        <v>856</v>
      </c>
      <c r="E46" s="21">
        <v>2019</v>
      </c>
      <c r="F46" s="2">
        <v>18</v>
      </c>
      <c r="G46" s="2" t="s">
        <v>870</v>
      </c>
      <c r="H46" s="19">
        <v>2018</v>
      </c>
      <c r="I46" s="2" t="s">
        <v>2</v>
      </c>
    </row>
    <row r="47" spans="2:34" x14ac:dyDescent="0.25">
      <c r="B47" s="2" t="s">
        <v>53</v>
      </c>
      <c r="C47" s="2">
        <v>29</v>
      </c>
      <c r="D47" s="2" t="s">
        <v>856</v>
      </c>
      <c r="E47" s="21">
        <v>2019</v>
      </c>
      <c r="F47" s="2">
        <v>7</v>
      </c>
      <c r="G47" s="2" t="s">
        <v>856</v>
      </c>
      <c r="H47" s="19">
        <v>2017</v>
      </c>
      <c r="I47" s="2" t="s">
        <v>2</v>
      </c>
    </row>
    <row r="48" spans="2:34" x14ac:dyDescent="0.25">
      <c r="B48" s="2" t="s">
        <v>54</v>
      </c>
      <c r="C48" s="2">
        <v>30</v>
      </c>
      <c r="D48" s="2" t="s">
        <v>856</v>
      </c>
      <c r="E48" s="21">
        <v>2019</v>
      </c>
      <c r="F48" s="2">
        <v>26</v>
      </c>
      <c r="G48" s="2" t="s">
        <v>857</v>
      </c>
      <c r="H48" s="19">
        <v>2018</v>
      </c>
      <c r="I48" s="2" t="s">
        <v>3</v>
      </c>
    </row>
    <row r="49" spans="2:9" x14ac:dyDescent="0.25">
      <c r="B49" s="2" t="s">
        <v>55</v>
      </c>
      <c r="C49" s="2">
        <v>31</v>
      </c>
      <c r="D49" s="2" t="s">
        <v>856</v>
      </c>
      <c r="E49" s="21">
        <v>2019</v>
      </c>
      <c r="F49" s="2">
        <v>27</v>
      </c>
      <c r="G49" s="2" t="s">
        <v>858</v>
      </c>
      <c r="H49" s="19">
        <v>2017</v>
      </c>
      <c r="I49" s="2" t="s">
        <v>2</v>
      </c>
    </row>
    <row r="50" spans="2:9" x14ac:dyDescent="0.25">
      <c r="B50" s="2" t="s">
        <v>56</v>
      </c>
      <c r="C50" s="2">
        <v>31</v>
      </c>
      <c r="D50" s="2" t="s">
        <v>856</v>
      </c>
      <c r="E50" s="21">
        <v>2019</v>
      </c>
      <c r="F50" s="2">
        <v>5</v>
      </c>
      <c r="G50" s="2" t="s">
        <v>867</v>
      </c>
      <c r="H50" s="19">
        <v>2017</v>
      </c>
      <c r="I50" s="2" t="s">
        <v>2</v>
      </c>
    </row>
    <row r="51" spans="2:9" x14ac:dyDescent="0.25">
      <c r="B51" s="2" t="s">
        <v>57</v>
      </c>
      <c r="C51" s="3">
        <v>5</v>
      </c>
      <c r="D51" s="3" t="s">
        <v>861</v>
      </c>
      <c r="E51" s="21">
        <v>2019</v>
      </c>
      <c r="F51" s="3">
        <v>17</v>
      </c>
      <c r="G51" s="3" t="s">
        <v>856</v>
      </c>
      <c r="H51" s="38">
        <v>2019</v>
      </c>
      <c r="I51" s="2" t="s">
        <v>2</v>
      </c>
    </row>
    <row r="52" spans="2:9" x14ac:dyDescent="0.25">
      <c r="B52" s="2" t="s">
        <v>58</v>
      </c>
      <c r="C52" s="3">
        <v>5</v>
      </c>
      <c r="D52" s="3" t="s">
        <v>861</v>
      </c>
      <c r="E52" s="21">
        <v>2019</v>
      </c>
      <c r="F52" s="3">
        <v>13</v>
      </c>
      <c r="G52" s="3" t="s">
        <v>870</v>
      </c>
      <c r="H52" s="38">
        <v>2018</v>
      </c>
      <c r="I52" s="2" t="s">
        <v>3</v>
      </c>
    </row>
    <row r="53" spans="2:9" x14ac:dyDescent="0.25">
      <c r="B53" s="2" t="s">
        <v>59</v>
      </c>
      <c r="C53" s="3">
        <v>6</v>
      </c>
      <c r="D53" s="3" t="s">
        <v>861</v>
      </c>
      <c r="E53" s="21">
        <v>2019</v>
      </c>
      <c r="F53" s="3">
        <v>9</v>
      </c>
      <c r="G53" s="3" t="s">
        <v>869</v>
      </c>
      <c r="H53" s="38">
        <v>2015</v>
      </c>
      <c r="I53" s="2" t="s">
        <v>2</v>
      </c>
    </row>
    <row r="54" spans="2:9" x14ac:dyDescent="0.25">
      <c r="B54" s="2" t="s">
        <v>60</v>
      </c>
      <c r="C54" s="3">
        <v>6</v>
      </c>
      <c r="D54" s="3" t="s">
        <v>861</v>
      </c>
      <c r="E54" s="21">
        <v>2019</v>
      </c>
      <c r="F54" s="3">
        <v>18</v>
      </c>
      <c r="G54" s="3" t="s">
        <v>856</v>
      </c>
      <c r="H54" s="38">
        <v>2019</v>
      </c>
      <c r="I54" s="2" t="s">
        <v>2</v>
      </c>
    </row>
    <row r="55" spans="2:9" x14ac:dyDescent="0.25">
      <c r="B55" s="2" t="s">
        <v>61</v>
      </c>
      <c r="C55" s="3">
        <v>6</v>
      </c>
      <c r="D55" s="3" t="s">
        <v>861</v>
      </c>
      <c r="E55" s="21">
        <v>2019</v>
      </c>
      <c r="F55" s="3">
        <v>21</v>
      </c>
      <c r="G55" s="3" t="s">
        <v>864</v>
      </c>
      <c r="H55" s="38">
        <v>1959</v>
      </c>
      <c r="I55" s="2" t="s">
        <v>3</v>
      </c>
    </row>
    <row r="56" spans="2:9" x14ac:dyDescent="0.25">
      <c r="B56" s="2" t="s">
        <v>62</v>
      </c>
      <c r="C56" s="3">
        <v>8</v>
      </c>
      <c r="D56" s="3" t="s">
        <v>861</v>
      </c>
      <c r="E56" s="21">
        <v>2019</v>
      </c>
      <c r="F56" s="3">
        <v>22</v>
      </c>
      <c r="G56" s="3" t="s">
        <v>856</v>
      </c>
      <c r="H56" s="38">
        <v>2019</v>
      </c>
      <c r="I56" s="2" t="s">
        <v>3</v>
      </c>
    </row>
    <row r="57" spans="2:9" x14ac:dyDescent="0.25">
      <c r="B57" s="2" t="s">
        <v>63</v>
      </c>
      <c r="C57" s="3">
        <v>8</v>
      </c>
      <c r="D57" s="3" t="s">
        <v>861</v>
      </c>
      <c r="E57" s="21">
        <v>2019</v>
      </c>
      <c r="F57" s="3">
        <v>27</v>
      </c>
      <c r="G57" s="3" t="s">
        <v>857</v>
      </c>
      <c r="H57" s="38">
        <v>2018</v>
      </c>
      <c r="I57" s="2" t="s">
        <v>3</v>
      </c>
    </row>
    <row r="58" spans="2:9" x14ac:dyDescent="0.25">
      <c r="B58" s="2" t="s">
        <v>64</v>
      </c>
      <c r="C58" s="3">
        <v>11</v>
      </c>
      <c r="D58" s="3" t="s">
        <v>861</v>
      </c>
      <c r="E58" s="21">
        <v>2019</v>
      </c>
      <c r="F58" s="3">
        <v>26</v>
      </c>
      <c r="G58" s="3" t="s">
        <v>865</v>
      </c>
      <c r="H58" s="38">
        <v>2018</v>
      </c>
      <c r="I58" s="2" t="s">
        <v>2</v>
      </c>
    </row>
    <row r="59" spans="2:9" x14ac:dyDescent="0.25">
      <c r="B59" s="2" t="s">
        <v>65</v>
      </c>
      <c r="C59" s="3">
        <v>11</v>
      </c>
      <c r="D59" s="3" t="s">
        <v>861</v>
      </c>
      <c r="E59" s="21">
        <v>2019</v>
      </c>
      <c r="F59" s="3">
        <v>14</v>
      </c>
      <c r="G59" s="3" t="s">
        <v>866</v>
      </c>
      <c r="H59" s="38">
        <v>2012</v>
      </c>
      <c r="I59" s="2" t="s">
        <v>3</v>
      </c>
    </row>
    <row r="60" spans="2:9" x14ac:dyDescent="0.25">
      <c r="B60" s="2" t="s">
        <v>66</v>
      </c>
      <c r="C60" s="3">
        <v>12</v>
      </c>
      <c r="D60" s="3" t="s">
        <v>861</v>
      </c>
      <c r="E60" s="21">
        <v>2019</v>
      </c>
      <c r="F60" s="3">
        <v>6</v>
      </c>
      <c r="G60" s="3" t="s">
        <v>861</v>
      </c>
      <c r="H60" s="38">
        <v>2019</v>
      </c>
      <c r="I60" s="2" t="s">
        <v>3</v>
      </c>
    </row>
    <row r="61" spans="2:9" x14ac:dyDescent="0.25">
      <c r="B61" s="2" t="s">
        <v>67</v>
      </c>
      <c r="C61" s="3">
        <v>18</v>
      </c>
      <c r="D61" s="3" t="s">
        <v>861</v>
      </c>
      <c r="E61" s="21">
        <v>2019</v>
      </c>
      <c r="F61" s="3">
        <v>15</v>
      </c>
      <c r="G61" s="3" t="s">
        <v>861</v>
      </c>
      <c r="H61" s="38">
        <v>2019</v>
      </c>
      <c r="I61" s="2" t="s">
        <v>3</v>
      </c>
    </row>
    <row r="62" spans="2:9" x14ac:dyDescent="0.25">
      <c r="B62" s="2" t="s">
        <v>68</v>
      </c>
      <c r="C62" s="3">
        <v>19</v>
      </c>
      <c r="D62" s="3" t="s">
        <v>861</v>
      </c>
      <c r="E62" s="21">
        <v>2019</v>
      </c>
      <c r="F62" s="3">
        <v>11</v>
      </c>
      <c r="G62" s="3" t="s">
        <v>867</v>
      </c>
      <c r="H62" s="38">
        <v>2018</v>
      </c>
      <c r="I62" s="2" t="s">
        <v>3</v>
      </c>
    </row>
    <row r="63" spans="2:9" x14ac:dyDescent="0.25">
      <c r="B63" s="2" t="s">
        <v>69</v>
      </c>
      <c r="C63" s="3">
        <v>19</v>
      </c>
      <c r="D63" s="3" t="s">
        <v>861</v>
      </c>
      <c r="E63" s="21">
        <v>2019</v>
      </c>
      <c r="F63" s="3">
        <v>5</v>
      </c>
      <c r="G63" s="3" t="s">
        <v>861</v>
      </c>
      <c r="H63" s="38">
        <v>2019</v>
      </c>
      <c r="I63" s="2" t="s">
        <v>2</v>
      </c>
    </row>
    <row r="64" spans="2:9" x14ac:dyDescent="0.25">
      <c r="B64" s="2" t="s">
        <v>70</v>
      </c>
      <c r="C64" s="3">
        <v>19</v>
      </c>
      <c r="D64" s="3" t="s">
        <v>861</v>
      </c>
      <c r="E64" s="21">
        <v>2019</v>
      </c>
      <c r="F64" s="3">
        <v>17</v>
      </c>
      <c r="G64" s="3" t="s">
        <v>856</v>
      </c>
      <c r="H64" s="38">
        <v>2019</v>
      </c>
      <c r="I64" s="2" t="s">
        <v>2</v>
      </c>
    </row>
    <row r="65" spans="2:9" x14ac:dyDescent="0.25">
      <c r="B65" s="2" t="s">
        <v>71</v>
      </c>
      <c r="C65" s="3">
        <v>20</v>
      </c>
      <c r="D65" s="3" t="s">
        <v>861</v>
      </c>
      <c r="E65" s="21">
        <v>2019</v>
      </c>
      <c r="F65" s="3">
        <v>19</v>
      </c>
      <c r="G65" s="3" t="s">
        <v>856</v>
      </c>
      <c r="H65" s="38">
        <v>2019</v>
      </c>
      <c r="I65" s="2" t="s">
        <v>2</v>
      </c>
    </row>
    <row r="66" spans="2:9" x14ac:dyDescent="0.25">
      <c r="B66" s="2" t="s">
        <v>72</v>
      </c>
      <c r="C66" s="3">
        <v>20</v>
      </c>
      <c r="D66" s="3" t="s">
        <v>861</v>
      </c>
      <c r="E66" s="21">
        <v>2019</v>
      </c>
      <c r="F66" s="3">
        <v>17</v>
      </c>
      <c r="G66" s="3" t="s">
        <v>864</v>
      </c>
      <c r="H66" s="38">
        <v>2018</v>
      </c>
      <c r="I66" s="2" t="s">
        <v>2</v>
      </c>
    </row>
    <row r="67" spans="2:9" x14ac:dyDescent="0.25">
      <c r="B67" s="2" t="s">
        <v>73</v>
      </c>
      <c r="C67" s="3">
        <v>21</v>
      </c>
      <c r="D67" s="3" t="s">
        <v>861</v>
      </c>
      <c r="E67" s="21">
        <v>2019</v>
      </c>
      <c r="F67" s="3">
        <v>12</v>
      </c>
      <c r="G67" s="3" t="s">
        <v>864</v>
      </c>
      <c r="H67" s="38">
        <v>2017</v>
      </c>
      <c r="I67" s="2" t="s">
        <v>3</v>
      </c>
    </row>
    <row r="68" spans="2:9" x14ac:dyDescent="0.25">
      <c r="B68" s="2" t="s">
        <v>74</v>
      </c>
      <c r="C68" s="3">
        <v>21</v>
      </c>
      <c r="D68" s="3" t="s">
        <v>861</v>
      </c>
      <c r="E68" s="21">
        <v>2019</v>
      </c>
      <c r="F68" s="3">
        <v>6</v>
      </c>
      <c r="G68" s="3" t="s">
        <v>861</v>
      </c>
      <c r="H68" s="38">
        <v>2019</v>
      </c>
      <c r="I68" s="2" t="s">
        <v>3</v>
      </c>
    </row>
    <row r="69" spans="2:9" x14ac:dyDescent="0.25">
      <c r="B69" s="2" t="s">
        <v>75</v>
      </c>
      <c r="C69" s="3">
        <v>21</v>
      </c>
      <c r="D69" s="3" t="s">
        <v>861</v>
      </c>
      <c r="E69" s="21">
        <v>2019</v>
      </c>
      <c r="F69" s="3">
        <v>17</v>
      </c>
      <c r="G69" s="3" t="s">
        <v>856</v>
      </c>
      <c r="H69" s="38">
        <v>2019</v>
      </c>
      <c r="I69" s="2" t="s">
        <v>3</v>
      </c>
    </row>
    <row r="70" spans="2:9" x14ac:dyDescent="0.25">
      <c r="B70" s="2" t="s">
        <v>76</v>
      </c>
      <c r="C70" s="3">
        <v>21</v>
      </c>
      <c r="D70" s="3" t="s">
        <v>861</v>
      </c>
      <c r="E70" s="21">
        <v>2019</v>
      </c>
      <c r="F70" s="3">
        <v>17</v>
      </c>
      <c r="G70" s="3" t="s">
        <v>856</v>
      </c>
      <c r="H70" s="38">
        <v>2019</v>
      </c>
      <c r="I70" s="2" t="s">
        <v>3</v>
      </c>
    </row>
    <row r="71" spans="2:9" x14ac:dyDescent="0.25">
      <c r="B71" s="2" t="s">
        <v>77</v>
      </c>
      <c r="C71" s="3">
        <v>21</v>
      </c>
      <c r="D71" s="3" t="s">
        <v>861</v>
      </c>
      <c r="E71" s="21">
        <v>2019</v>
      </c>
      <c r="F71" s="3">
        <v>19</v>
      </c>
      <c r="G71" s="3" t="s">
        <v>899</v>
      </c>
      <c r="H71" s="38">
        <v>2018</v>
      </c>
      <c r="I71" s="2" t="s">
        <v>2</v>
      </c>
    </row>
    <row r="72" spans="2:9" x14ac:dyDescent="0.25">
      <c r="B72" s="2" t="s">
        <v>78</v>
      </c>
      <c r="C72" s="3">
        <v>22</v>
      </c>
      <c r="D72" s="3" t="s">
        <v>861</v>
      </c>
      <c r="E72" s="21">
        <v>2019</v>
      </c>
      <c r="F72" s="3">
        <v>18</v>
      </c>
      <c r="G72" s="3" t="s">
        <v>867</v>
      </c>
      <c r="H72" s="38">
        <v>2014</v>
      </c>
      <c r="I72" s="2" t="s">
        <v>3</v>
      </c>
    </row>
    <row r="73" spans="2:9" x14ac:dyDescent="0.25">
      <c r="B73" s="2" t="s">
        <v>79</v>
      </c>
      <c r="C73" s="3">
        <v>25</v>
      </c>
      <c r="D73" s="3" t="s">
        <v>861</v>
      </c>
      <c r="E73" s="21">
        <v>2019</v>
      </c>
      <c r="F73" s="3">
        <v>29</v>
      </c>
      <c r="G73" s="3" t="s">
        <v>858</v>
      </c>
      <c r="H73" s="38">
        <v>2018</v>
      </c>
      <c r="I73" s="2" t="s">
        <v>2</v>
      </c>
    </row>
    <row r="74" spans="2:9" x14ac:dyDescent="0.25">
      <c r="B74" s="2" t="s">
        <v>80</v>
      </c>
      <c r="C74" s="3">
        <v>1</v>
      </c>
      <c r="D74" s="3" t="s">
        <v>867</v>
      </c>
      <c r="E74" s="21">
        <v>2019</v>
      </c>
      <c r="F74" s="3">
        <v>14</v>
      </c>
      <c r="G74" s="3" t="s">
        <v>861</v>
      </c>
      <c r="H74" s="38">
        <v>2019</v>
      </c>
      <c r="I74" s="2" t="s">
        <v>3</v>
      </c>
    </row>
    <row r="75" spans="2:9" x14ac:dyDescent="0.25">
      <c r="B75" s="2" t="s">
        <v>81</v>
      </c>
      <c r="C75" s="3">
        <v>1</v>
      </c>
      <c r="D75" s="3" t="s">
        <v>867</v>
      </c>
      <c r="E75" s="21">
        <v>2019</v>
      </c>
      <c r="F75" s="3">
        <v>10</v>
      </c>
      <c r="G75" s="3" t="s">
        <v>868</v>
      </c>
      <c r="H75" s="38">
        <v>2018</v>
      </c>
      <c r="I75" s="2" t="s">
        <v>2</v>
      </c>
    </row>
    <row r="76" spans="2:9" x14ac:dyDescent="0.25">
      <c r="B76" s="2" t="s">
        <v>82</v>
      </c>
      <c r="C76" s="3">
        <v>4</v>
      </c>
      <c r="D76" s="3" t="s">
        <v>867</v>
      </c>
      <c r="E76" s="21">
        <v>2019</v>
      </c>
      <c r="F76" s="3">
        <v>25</v>
      </c>
      <c r="G76" s="3" t="s">
        <v>870</v>
      </c>
      <c r="H76" s="38">
        <v>2018</v>
      </c>
      <c r="I76" s="2" t="s">
        <v>3</v>
      </c>
    </row>
    <row r="77" spans="2:9" x14ac:dyDescent="0.25">
      <c r="B77" s="2" t="s">
        <v>83</v>
      </c>
      <c r="C77" s="3">
        <v>4</v>
      </c>
      <c r="D77" s="3" t="s">
        <v>867</v>
      </c>
      <c r="E77" s="21">
        <v>2019</v>
      </c>
      <c r="F77" s="3">
        <v>10</v>
      </c>
      <c r="G77" s="3" t="s">
        <v>869</v>
      </c>
      <c r="H77" s="38">
        <v>2018</v>
      </c>
      <c r="I77" s="2" t="s">
        <v>2</v>
      </c>
    </row>
    <row r="78" spans="2:9" x14ac:dyDescent="0.25">
      <c r="B78" s="2" t="s">
        <v>84</v>
      </c>
      <c r="C78" s="3">
        <v>4</v>
      </c>
      <c r="D78" s="3" t="s">
        <v>867</v>
      </c>
      <c r="E78" s="21">
        <v>2019</v>
      </c>
      <c r="F78" s="3">
        <v>31</v>
      </c>
      <c r="G78" s="3" t="s">
        <v>856</v>
      </c>
      <c r="H78" s="38">
        <v>2019</v>
      </c>
      <c r="I78" s="2" t="s">
        <v>2</v>
      </c>
    </row>
    <row r="79" spans="2:9" x14ac:dyDescent="0.25">
      <c r="B79" s="2" t="s">
        <v>85</v>
      </c>
      <c r="C79" s="3">
        <v>4</v>
      </c>
      <c r="D79" s="3" t="s">
        <v>867</v>
      </c>
      <c r="E79" s="21">
        <v>2019</v>
      </c>
      <c r="F79" s="3">
        <v>6</v>
      </c>
      <c r="G79" s="3" t="s">
        <v>899</v>
      </c>
      <c r="H79" s="38">
        <v>2017</v>
      </c>
      <c r="I79" s="2" t="s">
        <v>3</v>
      </c>
    </row>
    <row r="80" spans="2:9" x14ac:dyDescent="0.25">
      <c r="B80" s="2" t="s">
        <v>86</v>
      </c>
      <c r="C80" s="3">
        <v>4</v>
      </c>
      <c r="D80" s="3" t="s">
        <v>867</v>
      </c>
      <c r="E80" s="21">
        <v>2019</v>
      </c>
      <c r="F80" s="3">
        <v>18</v>
      </c>
      <c r="G80" s="3" t="s">
        <v>857</v>
      </c>
      <c r="H80" s="38">
        <v>2018</v>
      </c>
      <c r="I80" s="2" t="s">
        <v>3</v>
      </c>
    </row>
    <row r="81" spans="2:9" x14ac:dyDescent="0.25">
      <c r="B81" s="2" t="s">
        <v>87</v>
      </c>
      <c r="C81" s="3">
        <v>7</v>
      </c>
      <c r="D81" s="3" t="s">
        <v>867</v>
      </c>
      <c r="E81" s="21">
        <v>2019</v>
      </c>
      <c r="F81" s="3">
        <v>4</v>
      </c>
      <c r="G81" s="3" t="s">
        <v>856</v>
      </c>
      <c r="H81" s="38">
        <v>2018</v>
      </c>
      <c r="I81" s="2" t="s">
        <v>2</v>
      </c>
    </row>
    <row r="82" spans="2:9" x14ac:dyDescent="0.25">
      <c r="B82" s="2" t="s">
        <v>88</v>
      </c>
      <c r="C82" s="3">
        <v>7</v>
      </c>
      <c r="D82" s="3" t="s">
        <v>867</v>
      </c>
      <c r="E82" s="21">
        <v>2019</v>
      </c>
      <c r="F82" s="3">
        <v>6</v>
      </c>
      <c r="G82" s="3" t="s">
        <v>856</v>
      </c>
      <c r="H82" s="38">
        <v>2018</v>
      </c>
      <c r="I82" s="2" t="s">
        <v>2</v>
      </c>
    </row>
    <row r="83" spans="2:9" x14ac:dyDescent="0.25">
      <c r="B83" s="2" t="s">
        <v>89</v>
      </c>
      <c r="C83" s="3">
        <v>8</v>
      </c>
      <c r="D83" s="3" t="s">
        <v>867</v>
      </c>
      <c r="E83" s="21">
        <v>2019</v>
      </c>
      <c r="F83" s="3">
        <v>28</v>
      </c>
      <c r="G83" s="3" t="s">
        <v>856</v>
      </c>
      <c r="H83" s="38">
        <v>2019</v>
      </c>
      <c r="I83" s="2" t="s">
        <v>2</v>
      </c>
    </row>
    <row r="84" spans="2:9" x14ac:dyDescent="0.25">
      <c r="B84" s="2" t="s">
        <v>90</v>
      </c>
      <c r="C84" s="3">
        <v>8</v>
      </c>
      <c r="D84" s="3" t="s">
        <v>867</v>
      </c>
      <c r="E84" s="21">
        <v>2019</v>
      </c>
      <c r="F84" s="3">
        <v>6</v>
      </c>
      <c r="G84" s="3" t="s">
        <v>857</v>
      </c>
      <c r="H84" s="38">
        <v>2012</v>
      </c>
      <c r="I84" s="2" t="s">
        <v>3</v>
      </c>
    </row>
    <row r="85" spans="2:9" x14ac:dyDescent="0.25">
      <c r="B85" s="2" t="s">
        <v>91</v>
      </c>
      <c r="C85" s="3">
        <v>8</v>
      </c>
      <c r="D85" s="3" t="s">
        <v>867</v>
      </c>
      <c r="E85" s="21">
        <v>2019</v>
      </c>
      <c r="F85" s="3">
        <v>22</v>
      </c>
      <c r="G85" s="3" t="s">
        <v>856</v>
      </c>
      <c r="H85" s="38">
        <v>2019</v>
      </c>
      <c r="I85" s="2" t="s">
        <v>3</v>
      </c>
    </row>
    <row r="86" spans="2:9" x14ac:dyDescent="0.25">
      <c r="B86" s="2" t="s">
        <v>92</v>
      </c>
      <c r="C86" s="3">
        <v>8</v>
      </c>
      <c r="D86" s="3" t="s">
        <v>867</v>
      </c>
      <c r="E86" s="21">
        <v>2019</v>
      </c>
      <c r="F86" s="3">
        <v>25</v>
      </c>
      <c r="G86" s="3" t="s">
        <v>867</v>
      </c>
      <c r="H86" s="38">
        <v>2019</v>
      </c>
      <c r="I86" s="2" t="s">
        <v>3</v>
      </c>
    </row>
    <row r="87" spans="2:9" x14ac:dyDescent="0.25">
      <c r="B87" s="2" t="s">
        <v>93</v>
      </c>
      <c r="C87" s="3">
        <v>9</v>
      </c>
      <c r="D87" s="3" t="s">
        <v>867</v>
      </c>
      <c r="E87" s="21">
        <v>2019</v>
      </c>
      <c r="F87" s="3">
        <v>9</v>
      </c>
      <c r="G87" s="3" t="s">
        <v>870</v>
      </c>
      <c r="H87" s="38">
        <v>2018</v>
      </c>
      <c r="I87" s="2" t="s">
        <v>3</v>
      </c>
    </row>
    <row r="88" spans="2:9" x14ac:dyDescent="0.25">
      <c r="B88" s="2" t="s">
        <v>94</v>
      </c>
      <c r="C88" s="3">
        <v>12</v>
      </c>
      <c r="D88" s="3" t="s">
        <v>867</v>
      </c>
      <c r="E88" s="21">
        <v>2019</v>
      </c>
      <c r="F88" s="3">
        <v>5</v>
      </c>
      <c r="G88" s="3" t="s">
        <v>867</v>
      </c>
      <c r="H88" s="38">
        <v>2019</v>
      </c>
      <c r="I88" s="2" t="s">
        <v>2</v>
      </c>
    </row>
    <row r="89" spans="2:9" x14ac:dyDescent="0.25">
      <c r="B89" s="2" t="s">
        <v>95</v>
      </c>
      <c r="C89" s="3">
        <v>12</v>
      </c>
      <c r="D89" s="3" t="s">
        <v>867</v>
      </c>
      <c r="E89" s="21">
        <v>2019</v>
      </c>
      <c r="F89" s="3">
        <v>29</v>
      </c>
      <c r="G89" s="3" t="s">
        <v>857</v>
      </c>
      <c r="H89" s="38">
        <v>2018</v>
      </c>
      <c r="I89" s="2" t="s">
        <v>3</v>
      </c>
    </row>
    <row r="90" spans="2:9" x14ac:dyDescent="0.25">
      <c r="B90" s="2" t="s">
        <v>96</v>
      </c>
      <c r="C90" s="3">
        <v>12</v>
      </c>
      <c r="D90" s="3" t="s">
        <v>867</v>
      </c>
      <c r="E90" s="21">
        <v>2019</v>
      </c>
      <c r="F90" s="3">
        <v>10</v>
      </c>
      <c r="G90" s="3" t="s">
        <v>856</v>
      </c>
      <c r="H90" s="38">
        <v>2019</v>
      </c>
      <c r="I90" s="2" t="s">
        <v>3</v>
      </c>
    </row>
    <row r="91" spans="2:9" x14ac:dyDescent="0.25">
      <c r="B91" s="2" t="s">
        <v>97</v>
      </c>
      <c r="C91" s="3">
        <v>12</v>
      </c>
      <c r="D91" s="3" t="s">
        <v>867</v>
      </c>
      <c r="E91" s="21">
        <v>2019</v>
      </c>
      <c r="F91" s="3">
        <v>28</v>
      </c>
      <c r="G91" s="3" t="s">
        <v>866</v>
      </c>
      <c r="H91" s="38">
        <v>2017</v>
      </c>
      <c r="I91" s="2" t="s">
        <v>3</v>
      </c>
    </row>
    <row r="92" spans="2:9" x14ac:dyDescent="0.25">
      <c r="B92" s="2" t="s">
        <v>98</v>
      </c>
      <c r="C92" s="3">
        <v>12</v>
      </c>
      <c r="D92" s="3" t="s">
        <v>867</v>
      </c>
      <c r="E92" s="21">
        <v>2019</v>
      </c>
      <c r="F92" s="3">
        <v>11</v>
      </c>
      <c r="G92" s="3" t="s">
        <v>861</v>
      </c>
      <c r="H92" s="38">
        <v>2019</v>
      </c>
      <c r="I92" s="2" t="s">
        <v>3</v>
      </c>
    </row>
    <row r="93" spans="2:9" x14ac:dyDescent="0.25">
      <c r="B93" s="2" t="s">
        <v>99</v>
      </c>
      <c r="C93" s="3">
        <v>13</v>
      </c>
      <c r="D93" s="3" t="s">
        <v>867</v>
      </c>
      <c r="E93" s="21">
        <v>2019</v>
      </c>
      <c r="F93" s="3">
        <v>10</v>
      </c>
      <c r="G93" s="3" t="s">
        <v>868</v>
      </c>
      <c r="H93" s="38">
        <v>2015</v>
      </c>
      <c r="I93" s="2" t="s">
        <v>2</v>
      </c>
    </row>
    <row r="94" spans="2:9" x14ac:dyDescent="0.25">
      <c r="B94" s="2" t="s">
        <v>100</v>
      </c>
      <c r="C94" s="3">
        <v>13</v>
      </c>
      <c r="D94" s="3" t="s">
        <v>867</v>
      </c>
      <c r="E94" s="21">
        <v>2019</v>
      </c>
      <c r="F94" s="3">
        <v>9</v>
      </c>
      <c r="G94" s="3" t="s">
        <v>867</v>
      </c>
      <c r="H94" s="38">
        <v>2019</v>
      </c>
      <c r="I94" s="2" t="s">
        <v>3</v>
      </c>
    </row>
    <row r="95" spans="2:9" x14ac:dyDescent="0.25">
      <c r="B95" s="2" t="s">
        <v>101</v>
      </c>
      <c r="C95" s="3">
        <v>13</v>
      </c>
      <c r="D95" s="3" t="s">
        <v>867</v>
      </c>
      <c r="E95" s="21">
        <v>2019</v>
      </c>
      <c r="F95" s="3">
        <v>7</v>
      </c>
      <c r="G95" s="3" t="s">
        <v>869</v>
      </c>
      <c r="H95" s="38">
        <v>2018</v>
      </c>
      <c r="I95" s="2" t="s">
        <v>2</v>
      </c>
    </row>
    <row r="96" spans="2:9" x14ac:dyDescent="0.25">
      <c r="B96" s="2" t="s">
        <v>102</v>
      </c>
      <c r="C96" s="3">
        <v>13</v>
      </c>
      <c r="D96" s="3" t="s">
        <v>867</v>
      </c>
      <c r="E96" s="21">
        <v>2019</v>
      </c>
      <c r="F96" s="3">
        <v>19</v>
      </c>
      <c r="G96" s="3" t="s">
        <v>856</v>
      </c>
      <c r="H96" s="38">
        <v>2017</v>
      </c>
      <c r="I96" s="2" t="s">
        <v>3</v>
      </c>
    </row>
    <row r="97" spans="2:9" x14ac:dyDescent="0.25">
      <c r="B97" s="2" t="s">
        <v>103</v>
      </c>
      <c r="C97" s="3">
        <v>13</v>
      </c>
      <c r="D97" s="3" t="s">
        <v>867</v>
      </c>
      <c r="E97" s="21">
        <v>2019</v>
      </c>
      <c r="F97" s="3">
        <v>9</v>
      </c>
      <c r="G97" s="3" t="s">
        <v>870</v>
      </c>
      <c r="H97" s="38">
        <v>2018</v>
      </c>
      <c r="I97" s="2" t="s">
        <v>2</v>
      </c>
    </row>
    <row r="98" spans="2:9" x14ac:dyDescent="0.25">
      <c r="B98" s="2" t="s">
        <v>104</v>
      </c>
      <c r="C98" s="3">
        <v>13</v>
      </c>
      <c r="D98" s="3" t="s">
        <v>867</v>
      </c>
      <c r="E98" s="21">
        <v>2019</v>
      </c>
      <c r="F98" s="3">
        <v>28</v>
      </c>
      <c r="G98" s="3" t="s">
        <v>856</v>
      </c>
      <c r="H98" s="38">
        <v>2019</v>
      </c>
      <c r="I98" s="2" t="s">
        <v>2</v>
      </c>
    </row>
    <row r="99" spans="2:9" x14ac:dyDescent="0.25">
      <c r="B99" s="2" t="s">
        <v>105</v>
      </c>
      <c r="C99" s="3">
        <v>13</v>
      </c>
      <c r="D99" s="3" t="s">
        <v>867</v>
      </c>
      <c r="E99" s="21">
        <v>2019</v>
      </c>
      <c r="F99" s="3">
        <v>19</v>
      </c>
      <c r="G99" s="3" t="s">
        <v>865</v>
      </c>
      <c r="H99" s="38">
        <v>2004</v>
      </c>
      <c r="I99" s="2" t="s">
        <v>3</v>
      </c>
    </row>
    <row r="100" spans="2:9" x14ac:dyDescent="0.25">
      <c r="B100" s="2" t="s">
        <v>106</v>
      </c>
      <c r="C100" s="3">
        <v>14</v>
      </c>
      <c r="D100" s="3" t="s">
        <v>867</v>
      </c>
      <c r="E100" s="21">
        <v>2019</v>
      </c>
      <c r="F100" s="3">
        <v>23</v>
      </c>
      <c r="G100" s="3" t="s">
        <v>899</v>
      </c>
      <c r="H100" s="38">
        <v>2011</v>
      </c>
      <c r="I100" s="2" t="s">
        <v>2</v>
      </c>
    </row>
    <row r="101" spans="2:9" x14ac:dyDescent="0.25">
      <c r="B101" s="2" t="s">
        <v>107</v>
      </c>
      <c r="C101" s="3">
        <v>14</v>
      </c>
      <c r="D101" s="3" t="s">
        <v>867</v>
      </c>
      <c r="E101" s="21">
        <v>2019</v>
      </c>
      <c r="F101" s="3">
        <v>22</v>
      </c>
      <c r="G101" s="3" t="s">
        <v>861</v>
      </c>
      <c r="H101" s="38">
        <v>2019</v>
      </c>
      <c r="I101" s="2" t="s">
        <v>2</v>
      </c>
    </row>
    <row r="102" spans="2:9" x14ac:dyDescent="0.25">
      <c r="B102" s="2" t="s">
        <v>108</v>
      </c>
      <c r="C102" s="3">
        <v>14</v>
      </c>
      <c r="D102" s="3" t="s">
        <v>867</v>
      </c>
      <c r="E102" s="21">
        <v>2019</v>
      </c>
      <c r="F102" s="3">
        <v>29</v>
      </c>
      <c r="G102" s="3" t="s">
        <v>899</v>
      </c>
      <c r="H102" s="38">
        <v>2018</v>
      </c>
      <c r="I102" s="2" t="s">
        <v>2</v>
      </c>
    </row>
    <row r="103" spans="2:9" x14ac:dyDescent="0.25">
      <c r="B103" s="2" t="s">
        <v>109</v>
      </c>
      <c r="C103" s="3">
        <v>14</v>
      </c>
      <c r="D103" s="3" t="s">
        <v>867</v>
      </c>
      <c r="E103" s="21">
        <v>2019</v>
      </c>
      <c r="F103" s="3">
        <v>11</v>
      </c>
      <c r="G103" s="3" t="s">
        <v>857</v>
      </c>
      <c r="H103" s="38">
        <v>2018</v>
      </c>
      <c r="I103" s="2" t="s">
        <v>3</v>
      </c>
    </row>
    <row r="104" spans="2:9" x14ac:dyDescent="0.25">
      <c r="B104" s="2" t="s">
        <v>110</v>
      </c>
      <c r="C104" s="3">
        <v>19</v>
      </c>
      <c r="D104" s="3" t="s">
        <v>867</v>
      </c>
      <c r="E104" s="21">
        <v>2019</v>
      </c>
      <c r="F104" s="3">
        <v>22</v>
      </c>
      <c r="G104" s="3" t="s">
        <v>867</v>
      </c>
      <c r="H104" s="38">
        <v>2018</v>
      </c>
      <c r="I104" s="2" t="s">
        <v>3</v>
      </c>
    </row>
    <row r="105" spans="2:9" x14ac:dyDescent="0.25">
      <c r="B105" s="2" t="s">
        <v>111</v>
      </c>
      <c r="C105" s="3">
        <v>19</v>
      </c>
      <c r="D105" s="3" t="s">
        <v>867</v>
      </c>
      <c r="E105" s="21">
        <v>2019</v>
      </c>
      <c r="F105" s="3">
        <v>26</v>
      </c>
      <c r="G105" s="3" t="s">
        <v>856</v>
      </c>
      <c r="H105" s="38">
        <v>2019</v>
      </c>
      <c r="I105" s="2" t="s">
        <v>3</v>
      </c>
    </row>
    <row r="106" spans="2:9" x14ac:dyDescent="0.25">
      <c r="B106" s="2" t="s">
        <v>112</v>
      </c>
      <c r="C106" s="3">
        <v>19</v>
      </c>
      <c r="D106" s="3" t="s">
        <v>867</v>
      </c>
      <c r="E106" s="21">
        <v>2019</v>
      </c>
      <c r="F106" s="3">
        <v>29</v>
      </c>
      <c r="G106" s="3" t="s">
        <v>870</v>
      </c>
      <c r="H106" s="38">
        <v>2018</v>
      </c>
      <c r="I106" s="2" t="s">
        <v>2</v>
      </c>
    </row>
    <row r="107" spans="2:9" x14ac:dyDescent="0.25">
      <c r="B107" s="2" t="s">
        <v>113</v>
      </c>
      <c r="C107" s="3">
        <v>19</v>
      </c>
      <c r="D107" s="3" t="s">
        <v>867</v>
      </c>
      <c r="E107" s="21">
        <v>2019</v>
      </c>
      <c r="F107" s="3">
        <v>8</v>
      </c>
      <c r="G107" s="3" t="s">
        <v>861</v>
      </c>
      <c r="H107" s="38">
        <v>2019</v>
      </c>
      <c r="I107" s="2" t="s">
        <v>2</v>
      </c>
    </row>
    <row r="108" spans="2:9" x14ac:dyDescent="0.25">
      <c r="B108" s="2" t="s">
        <v>114</v>
      </c>
      <c r="C108" s="3">
        <v>19</v>
      </c>
      <c r="D108" s="3" t="s">
        <v>867</v>
      </c>
      <c r="E108" s="21">
        <v>2019</v>
      </c>
      <c r="F108" s="3">
        <v>12</v>
      </c>
      <c r="G108" s="3" t="s">
        <v>899</v>
      </c>
      <c r="H108" s="38">
        <v>2018</v>
      </c>
      <c r="I108" s="2" t="s">
        <v>2</v>
      </c>
    </row>
    <row r="109" spans="2:9" x14ac:dyDescent="0.25">
      <c r="B109" s="2" t="s">
        <v>115</v>
      </c>
      <c r="C109" s="3">
        <v>21</v>
      </c>
      <c r="D109" s="3" t="s">
        <v>867</v>
      </c>
      <c r="E109" s="21">
        <v>2019</v>
      </c>
      <c r="F109" s="3">
        <v>3</v>
      </c>
      <c r="G109" s="3" t="s">
        <v>869</v>
      </c>
      <c r="H109" s="38">
        <v>1954</v>
      </c>
      <c r="I109" s="2" t="s">
        <v>3</v>
      </c>
    </row>
    <row r="110" spans="2:9" x14ac:dyDescent="0.25">
      <c r="B110" s="2" t="s">
        <v>116</v>
      </c>
      <c r="C110" s="3">
        <v>21</v>
      </c>
      <c r="D110" s="3" t="s">
        <v>867</v>
      </c>
      <c r="E110" s="21">
        <v>2019</v>
      </c>
      <c r="F110" s="3">
        <v>17</v>
      </c>
      <c r="G110" s="3" t="s">
        <v>868</v>
      </c>
      <c r="H110" s="38">
        <v>1991</v>
      </c>
      <c r="I110" s="2" t="s">
        <v>2</v>
      </c>
    </row>
    <row r="111" spans="2:9" x14ac:dyDescent="0.25">
      <c r="B111" s="2" t="s">
        <v>117</v>
      </c>
      <c r="C111" s="3">
        <v>22</v>
      </c>
      <c r="D111" s="3" t="s">
        <v>867</v>
      </c>
      <c r="E111" s="21">
        <v>2019</v>
      </c>
      <c r="F111" s="3">
        <v>14</v>
      </c>
      <c r="G111" s="3" t="s">
        <v>866</v>
      </c>
      <c r="H111" s="38">
        <v>1973</v>
      </c>
      <c r="I111" s="2" t="s">
        <v>2</v>
      </c>
    </row>
    <row r="112" spans="2:9" x14ac:dyDescent="0.25">
      <c r="B112" s="2" t="s">
        <v>118</v>
      </c>
      <c r="C112" s="3">
        <v>22</v>
      </c>
      <c r="D112" s="3" t="s">
        <v>867</v>
      </c>
      <c r="E112" s="21">
        <v>2019</v>
      </c>
      <c r="F112" s="3">
        <v>6</v>
      </c>
      <c r="G112" s="3" t="s">
        <v>868</v>
      </c>
      <c r="H112" s="38">
        <v>1985</v>
      </c>
      <c r="I112" s="2" t="s">
        <v>3</v>
      </c>
    </row>
    <row r="113" spans="2:9" x14ac:dyDescent="0.25">
      <c r="B113" s="2" t="s">
        <v>119</v>
      </c>
      <c r="C113" s="3">
        <v>3</v>
      </c>
      <c r="D113" s="3" t="s">
        <v>865</v>
      </c>
      <c r="E113" s="21">
        <v>2019</v>
      </c>
      <c r="F113" s="3">
        <v>8</v>
      </c>
      <c r="G113" s="3" t="s">
        <v>866</v>
      </c>
      <c r="H113" s="38">
        <v>2018</v>
      </c>
      <c r="I113" s="2" t="s">
        <v>3</v>
      </c>
    </row>
    <row r="114" spans="2:9" x14ac:dyDescent="0.25">
      <c r="B114" s="2" t="s">
        <v>120</v>
      </c>
      <c r="C114" s="3">
        <v>5</v>
      </c>
      <c r="D114" s="3" t="s">
        <v>865</v>
      </c>
      <c r="E114" s="21">
        <v>2019</v>
      </c>
      <c r="F114" s="3">
        <v>18</v>
      </c>
      <c r="G114" s="3" t="s">
        <v>861</v>
      </c>
      <c r="H114" s="38">
        <v>2019</v>
      </c>
      <c r="I114" s="2" t="s">
        <v>3</v>
      </c>
    </row>
    <row r="115" spans="2:9" x14ac:dyDescent="0.25">
      <c r="B115" s="2" t="s">
        <v>121</v>
      </c>
      <c r="C115" s="3">
        <v>8</v>
      </c>
      <c r="D115" s="3" t="s">
        <v>865</v>
      </c>
      <c r="E115" s="21">
        <v>2019</v>
      </c>
      <c r="F115" s="3">
        <v>17</v>
      </c>
      <c r="G115" s="3" t="s">
        <v>867</v>
      </c>
      <c r="H115" s="38">
        <v>2019</v>
      </c>
      <c r="I115" s="2" t="s">
        <v>3</v>
      </c>
    </row>
    <row r="116" spans="2:9" x14ac:dyDescent="0.25">
      <c r="B116" s="2" t="s">
        <v>122</v>
      </c>
      <c r="C116" s="3">
        <v>8</v>
      </c>
      <c r="D116" s="3" t="s">
        <v>865</v>
      </c>
      <c r="E116" s="21">
        <v>2019</v>
      </c>
      <c r="F116" s="3">
        <v>14</v>
      </c>
      <c r="G116" s="3" t="s">
        <v>858</v>
      </c>
      <c r="H116" s="38">
        <v>1969</v>
      </c>
      <c r="I116" s="2" t="s">
        <v>2</v>
      </c>
    </row>
    <row r="117" spans="2:9" x14ac:dyDescent="0.25">
      <c r="B117" s="2" t="s">
        <v>123</v>
      </c>
      <c r="C117" s="3">
        <v>8</v>
      </c>
      <c r="D117" s="3" t="s">
        <v>865</v>
      </c>
      <c r="E117" s="21">
        <v>2019</v>
      </c>
      <c r="F117" s="3">
        <v>26</v>
      </c>
      <c r="G117" s="3" t="s">
        <v>899</v>
      </c>
      <c r="H117" s="38">
        <v>2018</v>
      </c>
      <c r="I117" s="2" t="s">
        <v>3</v>
      </c>
    </row>
    <row r="118" spans="2:9" x14ac:dyDescent="0.25">
      <c r="B118" s="2" t="s">
        <v>124</v>
      </c>
      <c r="C118" s="3">
        <v>8</v>
      </c>
      <c r="D118" s="3" t="s">
        <v>865</v>
      </c>
      <c r="E118" s="21">
        <v>2019</v>
      </c>
      <c r="F118" s="3">
        <v>23</v>
      </c>
      <c r="G118" s="3" t="s">
        <v>870</v>
      </c>
      <c r="H118" s="38">
        <v>2018</v>
      </c>
      <c r="I118" s="2" t="s">
        <v>3</v>
      </c>
    </row>
    <row r="119" spans="2:9" x14ac:dyDescent="0.25">
      <c r="B119" s="2" t="s">
        <v>125</v>
      </c>
      <c r="C119" s="3">
        <v>11</v>
      </c>
      <c r="D119" s="3" t="s">
        <v>865</v>
      </c>
      <c r="E119" s="21">
        <v>2019</v>
      </c>
      <c r="F119" s="3">
        <v>21</v>
      </c>
      <c r="G119" s="3" t="s">
        <v>856</v>
      </c>
      <c r="H119" s="38">
        <v>2019</v>
      </c>
      <c r="I119" s="2" t="s">
        <v>3</v>
      </c>
    </row>
    <row r="120" spans="2:9" x14ac:dyDescent="0.25">
      <c r="B120" s="2" t="s">
        <v>126</v>
      </c>
      <c r="C120" s="3">
        <v>11</v>
      </c>
      <c r="D120" s="3" t="s">
        <v>865</v>
      </c>
      <c r="E120" s="21">
        <v>2019</v>
      </c>
      <c r="F120" s="3">
        <v>25</v>
      </c>
      <c r="G120" s="3" t="s">
        <v>868</v>
      </c>
      <c r="H120" s="38">
        <v>2018</v>
      </c>
      <c r="I120" s="2" t="s">
        <v>3</v>
      </c>
    </row>
    <row r="121" spans="2:9" x14ac:dyDescent="0.25">
      <c r="B121" s="2" t="s">
        <v>127</v>
      </c>
      <c r="C121" s="3">
        <v>11</v>
      </c>
      <c r="D121" s="3" t="s">
        <v>865</v>
      </c>
      <c r="E121" s="21">
        <v>2019</v>
      </c>
      <c r="F121" s="3">
        <v>5</v>
      </c>
      <c r="G121" s="3" t="s">
        <v>857</v>
      </c>
      <c r="H121" s="38">
        <v>2018</v>
      </c>
      <c r="I121" s="2" t="s">
        <v>2</v>
      </c>
    </row>
    <row r="122" spans="2:9" x14ac:dyDescent="0.25">
      <c r="B122" s="2" t="s">
        <v>128</v>
      </c>
      <c r="C122" s="3">
        <v>12</v>
      </c>
      <c r="D122" s="3" t="s">
        <v>865</v>
      </c>
      <c r="E122" s="21">
        <v>2019</v>
      </c>
      <c r="F122" s="3">
        <v>9</v>
      </c>
      <c r="G122" s="3" t="s">
        <v>865</v>
      </c>
      <c r="H122" s="38">
        <v>2019</v>
      </c>
      <c r="I122" s="2" t="s">
        <v>2</v>
      </c>
    </row>
    <row r="123" spans="2:9" x14ac:dyDescent="0.25">
      <c r="B123" s="2" t="s">
        <v>129</v>
      </c>
      <c r="C123" s="3">
        <v>12</v>
      </c>
      <c r="D123" s="3" t="s">
        <v>865</v>
      </c>
      <c r="E123" s="21">
        <v>2019</v>
      </c>
      <c r="F123" s="3">
        <v>16</v>
      </c>
      <c r="G123" s="3" t="s">
        <v>865</v>
      </c>
      <c r="H123" s="38">
        <v>2019</v>
      </c>
      <c r="I123" s="2" t="s">
        <v>3</v>
      </c>
    </row>
    <row r="124" spans="2:9" x14ac:dyDescent="0.25">
      <c r="B124" s="2" t="s">
        <v>130</v>
      </c>
      <c r="C124" s="3">
        <v>12</v>
      </c>
      <c r="D124" s="3" t="s">
        <v>865</v>
      </c>
      <c r="E124" s="21">
        <v>2019</v>
      </c>
      <c r="F124" s="3">
        <v>14</v>
      </c>
      <c r="G124" s="3" t="s">
        <v>858</v>
      </c>
      <c r="H124" s="38">
        <v>2018</v>
      </c>
      <c r="I124" s="2" t="s">
        <v>2</v>
      </c>
    </row>
    <row r="125" spans="2:9" x14ac:dyDescent="0.25">
      <c r="B125" s="2" t="s">
        <v>131</v>
      </c>
      <c r="C125" s="3">
        <v>16</v>
      </c>
      <c r="D125" s="3" t="s">
        <v>865</v>
      </c>
      <c r="E125" s="21">
        <v>2019</v>
      </c>
      <c r="F125" s="3">
        <v>2</v>
      </c>
      <c r="G125" s="3" t="s">
        <v>856</v>
      </c>
      <c r="H125" s="38">
        <v>2019</v>
      </c>
      <c r="I125" s="2" t="s">
        <v>2</v>
      </c>
    </row>
    <row r="126" spans="2:9" x14ac:dyDescent="0.25">
      <c r="B126" s="2" t="s">
        <v>132</v>
      </c>
      <c r="C126" s="3">
        <v>17</v>
      </c>
      <c r="D126" s="3" t="s">
        <v>865</v>
      </c>
      <c r="E126" s="21">
        <v>2019</v>
      </c>
      <c r="F126" s="3">
        <v>4</v>
      </c>
      <c r="G126" s="3" t="s">
        <v>867</v>
      </c>
      <c r="H126" s="38">
        <v>2019</v>
      </c>
      <c r="I126" s="2" t="s">
        <v>2</v>
      </c>
    </row>
    <row r="127" spans="2:9" x14ac:dyDescent="0.25">
      <c r="B127" s="2" t="s">
        <v>133</v>
      </c>
      <c r="C127" s="3">
        <v>17</v>
      </c>
      <c r="D127" s="3" t="s">
        <v>865</v>
      </c>
      <c r="E127" s="21">
        <v>2019</v>
      </c>
      <c r="F127" s="3">
        <v>4</v>
      </c>
      <c r="G127" s="3" t="s">
        <v>867</v>
      </c>
      <c r="H127" s="38">
        <v>2019</v>
      </c>
      <c r="I127" s="2" t="s">
        <v>2</v>
      </c>
    </row>
    <row r="128" spans="2:9" x14ac:dyDescent="0.25">
      <c r="B128" s="2" t="s">
        <v>134</v>
      </c>
      <c r="C128" s="3">
        <v>17</v>
      </c>
      <c r="D128" s="3" t="s">
        <v>865</v>
      </c>
      <c r="E128" s="21">
        <v>2019</v>
      </c>
      <c r="F128" s="3">
        <v>9</v>
      </c>
      <c r="G128" s="3" t="s">
        <v>865</v>
      </c>
      <c r="H128" s="38">
        <v>2019</v>
      </c>
      <c r="I128" s="2" t="s">
        <v>3</v>
      </c>
    </row>
    <row r="129" spans="2:9" x14ac:dyDescent="0.25">
      <c r="B129" s="2" t="s">
        <v>135</v>
      </c>
      <c r="C129" s="3">
        <v>22</v>
      </c>
      <c r="D129" s="3" t="s">
        <v>865</v>
      </c>
      <c r="E129" s="21">
        <v>2019</v>
      </c>
      <c r="F129" s="3">
        <v>13</v>
      </c>
      <c r="G129" s="3" t="s">
        <v>865</v>
      </c>
      <c r="H129" s="38">
        <v>2019</v>
      </c>
      <c r="I129" s="2" t="s">
        <v>3</v>
      </c>
    </row>
    <row r="130" spans="2:9" x14ac:dyDescent="0.25">
      <c r="B130" s="2" t="s">
        <v>136</v>
      </c>
      <c r="C130" s="3">
        <v>24</v>
      </c>
      <c r="D130" s="3" t="s">
        <v>865</v>
      </c>
      <c r="E130" s="21">
        <v>2019</v>
      </c>
      <c r="F130" s="3">
        <v>12</v>
      </c>
      <c r="G130" s="3" t="s">
        <v>865</v>
      </c>
      <c r="H130" s="38">
        <v>2019</v>
      </c>
      <c r="I130" s="2" t="s">
        <v>2</v>
      </c>
    </row>
    <row r="131" spans="2:9" x14ac:dyDescent="0.25">
      <c r="B131" s="2" t="s">
        <v>137</v>
      </c>
      <c r="C131" s="3">
        <v>24</v>
      </c>
      <c r="D131" s="3" t="s">
        <v>865</v>
      </c>
      <c r="E131" s="21">
        <v>2019</v>
      </c>
      <c r="F131" s="3">
        <v>12</v>
      </c>
      <c r="G131" s="3" t="s">
        <v>865</v>
      </c>
      <c r="H131" s="38">
        <v>2019</v>
      </c>
      <c r="I131" s="2" t="s">
        <v>2</v>
      </c>
    </row>
    <row r="132" spans="2:9" x14ac:dyDescent="0.25">
      <c r="B132" s="2" t="s">
        <v>138</v>
      </c>
      <c r="C132" s="3">
        <v>24</v>
      </c>
      <c r="D132" s="3" t="s">
        <v>865</v>
      </c>
      <c r="E132" s="21">
        <v>2019</v>
      </c>
      <c r="F132" s="3">
        <v>5</v>
      </c>
      <c r="G132" s="3" t="s">
        <v>868</v>
      </c>
      <c r="H132" s="38">
        <v>2018</v>
      </c>
      <c r="I132" s="2" t="s">
        <v>3</v>
      </c>
    </row>
    <row r="133" spans="2:9" x14ac:dyDescent="0.25">
      <c r="B133" s="2" t="s">
        <v>139</v>
      </c>
      <c r="C133" s="3">
        <v>24</v>
      </c>
      <c r="D133" s="3" t="s">
        <v>865</v>
      </c>
      <c r="E133" s="21">
        <v>2019</v>
      </c>
      <c r="F133" s="3">
        <v>20</v>
      </c>
      <c r="G133" s="3" t="s">
        <v>867</v>
      </c>
      <c r="H133" s="38">
        <v>2019</v>
      </c>
      <c r="I133" s="2" t="s">
        <v>3</v>
      </c>
    </row>
    <row r="134" spans="2:9" x14ac:dyDescent="0.25">
      <c r="B134" s="2" t="s">
        <v>140</v>
      </c>
      <c r="C134" s="3">
        <v>25</v>
      </c>
      <c r="D134" s="3" t="s">
        <v>865</v>
      </c>
      <c r="E134" s="21">
        <v>2019</v>
      </c>
      <c r="F134" s="3">
        <v>8</v>
      </c>
      <c r="G134" s="3" t="s">
        <v>867</v>
      </c>
      <c r="H134" s="38">
        <v>2019</v>
      </c>
      <c r="I134" s="2" t="s">
        <v>2</v>
      </c>
    </row>
    <row r="135" spans="2:9" x14ac:dyDescent="0.25">
      <c r="B135" s="2" t="s">
        <v>141</v>
      </c>
      <c r="C135" s="3">
        <v>25</v>
      </c>
      <c r="D135" s="3" t="s">
        <v>865</v>
      </c>
      <c r="E135" s="21">
        <v>2019</v>
      </c>
      <c r="F135" s="3">
        <v>29</v>
      </c>
      <c r="G135" s="3" t="s">
        <v>867</v>
      </c>
      <c r="H135" s="38">
        <v>2019</v>
      </c>
      <c r="I135" s="2" t="s">
        <v>2</v>
      </c>
    </row>
    <row r="136" spans="2:9" x14ac:dyDescent="0.25">
      <c r="B136" s="2" t="s">
        <v>142</v>
      </c>
      <c r="C136" s="3">
        <v>25</v>
      </c>
      <c r="D136" s="3" t="s">
        <v>865</v>
      </c>
      <c r="E136" s="21">
        <v>2019</v>
      </c>
      <c r="F136" s="3">
        <v>2</v>
      </c>
      <c r="G136" s="3" t="s">
        <v>899</v>
      </c>
      <c r="H136" s="38">
        <v>2005</v>
      </c>
      <c r="I136" s="2" t="s">
        <v>3</v>
      </c>
    </row>
    <row r="137" spans="2:9" x14ac:dyDescent="0.25">
      <c r="B137" s="2" t="s">
        <v>143</v>
      </c>
      <c r="C137" s="3">
        <v>25</v>
      </c>
      <c r="D137" s="3" t="s">
        <v>865</v>
      </c>
      <c r="E137" s="21">
        <v>2019</v>
      </c>
      <c r="F137" s="3">
        <v>14</v>
      </c>
      <c r="G137" s="3" t="s">
        <v>856</v>
      </c>
      <c r="H137" s="38">
        <v>1999</v>
      </c>
      <c r="I137" s="2" t="s">
        <v>3</v>
      </c>
    </row>
    <row r="138" spans="2:9" x14ac:dyDescent="0.25">
      <c r="B138" s="2" t="s">
        <v>144</v>
      </c>
      <c r="C138" s="3">
        <v>26</v>
      </c>
      <c r="D138" s="3" t="s">
        <v>865</v>
      </c>
      <c r="E138" s="21">
        <v>2019</v>
      </c>
      <c r="F138" s="3">
        <v>24</v>
      </c>
      <c r="G138" s="3" t="s">
        <v>867</v>
      </c>
      <c r="H138" s="38">
        <v>2018</v>
      </c>
      <c r="I138" s="2" t="s">
        <v>2</v>
      </c>
    </row>
    <row r="139" spans="2:9" x14ac:dyDescent="0.25">
      <c r="B139" s="2" t="s">
        <v>145</v>
      </c>
      <c r="C139" s="3">
        <v>26</v>
      </c>
      <c r="D139" s="3" t="s">
        <v>865</v>
      </c>
      <c r="E139" s="21">
        <v>2019</v>
      </c>
      <c r="F139" s="3">
        <v>23</v>
      </c>
      <c r="G139" s="3" t="s">
        <v>899</v>
      </c>
      <c r="H139" s="38">
        <v>2018</v>
      </c>
      <c r="I139" s="2" t="s">
        <v>3</v>
      </c>
    </row>
    <row r="140" spans="2:9" x14ac:dyDescent="0.25">
      <c r="B140" s="2" t="s">
        <v>146</v>
      </c>
      <c r="C140" s="3">
        <v>29</v>
      </c>
      <c r="D140" s="3" t="s">
        <v>865</v>
      </c>
      <c r="E140" s="21">
        <v>2019</v>
      </c>
      <c r="F140" s="3">
        <v>29</v>
      </c>
      <c r="G140" s="3" t="s">
        <v>858</v>
      </c>
      <c r="H140" s="38">
        <v>2018</v>
      </c>
      <c r="I140" s="2" t="s">
        <v>2</v>
      </c>
    </row>
    <row r="141" spans="2:9" x14ac:dyDescent="0.25">
      <c r="B141" s="2" t="s">
        <v>147</v>
      </c>
      <c r="C141" s="3">
        <v>29</v>
      </c>
      <c r="D141" s="3" t="s">
        <v>865</v>
      </c>
      <c r="E141" s="21">
        <v>2019</v>
      </c>
      <c r="F141" s="3">
        <v>4</v>
      </c>
      <c r="G141" s="3" t="s">
        <v>858</v>
      </c>
      <c r="H141" s="38">
        <v>2018</v>
      </c>
      <c r="I141" s="2" t="s">
        <v>3</v>
      </c>
    </row>
    <row r="142" spans="2:9" x14ac:dyDescent="0.25">
      <c r="B142" s="2" t="s">
        <v>148</v>
      </c>
      <c r="C142" s="3">
        <v>29</v>
      </c>
      <c r="D142" s="3" t="s">
        <v>865</v>
      </c>
      <c r="E142" s="21">
        <v>2019</v>
      </c>
      <c r="F142" s="3">
        <v>9</v>
      </c>
      <c r="G142" s="3" t="s">
        <v>865</v>
      </c>
      <c r="H142" s="38">
        <v>2019</v>
      </c>
      <c r="I142" s="2" t="s">
        <v>2</v>
      </c>
    </row>
    <row r="143" spans="2:9" x14ac:dyDescent="0.25">
      <c r="B143" s="2" t="s">
        <v>149</v>
      </c>
      <c r="C143" s="3">
        <v>29</v>
      </c>
      <c r="D143" s="3" t="s">
        <v>865</v>
      </c>
      <c r="E143" s="21">
        <v>2019</v>
      </c>
      <c r="F143" s="3">
        <v>18</v>
      </c>
      <c r="G143" s="3" t="s">
        <v>857</v>
      </c>
      <c r="H143" s="38">
        <v>2018</v>
      </c>
      <c r="I143" s="2" t="s">
        <v>3</v>
      </c>
    </row>
    <row r="144" spans="2:9" x14ac:dyDescent="0.25">
      <c r="B144" s="2" t="s">
        <v>150</v>
      </c>
      <c r="C144" s="3">
        <v>29</v>
      </c>
      <c r="D144" s="3" t="s">
        <v>865</v>
      </c>
      <c r="E144" s="21">
        <v>2019</v>
      </c>
      <c r="F144" s="3">
        <v>5</v>
      </c>
      <c r="G144" s="3" t="s">
        <v>857</v>
      </c>
      <c r="H144" s="38">
        <v>2018</v>
      </c>
      <c r="I144" s="2" t="s">
        <v>3</v>
      </c>
    </row>
    <row r="145" spans="2:9" x14ac:dyDescent="0.25">
      <c r="B145" s="2" t="s">
        <v>151</v>
      </c>
      <c r="C145" s="3">
        <v>29</v>
      </c>
      <c r="D145" s="3" t="s">
        <v>865</v>
      </c>
      <c r="E145" s="21">
        <v>2019</v>
      </c>
      <c r="F145" s="3">
        <v>12</v>
      </c>
      <c r="G145" s="3" t="s">
        <v>865</v>
      </c>
      <c r="H145" s="38">
        <v>2019</v>
      </c>
      <c r="I145" s="2" t="s">
        <v>2</v>
      </c>
    </row>
    <row r="146" spans="2:9" x14ac:dyDescent="0.25">
      <c r="B146" s="2" t="s">
        <v>152</v>
      </c>
      <c r="C146" s="3">
        <v>29</v>
      </c>
      <c r="D146" s="3" t="s">
        <v>865</v>
      </c>
      <c r="E146" s="21">
        <v>2019</v>
      </c>
      <c r="F146" s="3">
        <v>8</v>
      </c>
      <c r="G146" s="3" t="s">
        <v>865</v>
      </c>
      <c r="H146" s="38">
        <v>2019</v>
      </c>
      <c r="I146" s="2" t="s">
        <v>2</v>
      </c>
    </row>
    <row r="147" spans="2:9" x14ac:dyDescent="0.25">
      <c r="B147" s="2" t="s">
        <v>153</v>
      </c>
      <c r="C147" s="3">
        <v>29</v>
      </c>
      <c r="D147" s="3" t="s">
        <v>865</v>
      </c>
      <c r="E147" s="21">
        <v>2019</v>
      </c>
      <c r="F147" s="3">
        <v>21</v>
      </c>
      <c r="G147" s="3" t="s">
        <v>856</v>
      </c>
      <c r="H147" s="38">
        <v>2019</v>
      </c>
      <c r="I147" s="2" t="s">
        <v>2</v>
      </c>
    </row>
    <row r="148" spans="2:9" x14ac:dyDescent="0.25">
      <c r="B148" s="2" t="s">
        <v>154</v>
      </c>
      <c r="C148" s="3">
        <v>29</v>
      </c>
      <c r="D148" s="3" t="s">
        <v>865</v>
      </c>
      <c r="E148" s="21">
        <v>2019</v>
      </c>
      <c r="F148" s="3">
        <v>8</v>
      </c>
      <c r="G148" s="3" t="s">
        <v>856</v>
      </c>
      <c r="H148" s="38">
        <v>2019</v>
      </c>
      <c r="I148" s="2" t="s">
        <v>3</v>
      </c>
    </row>
    <row r="149" spans="2:9" x14ac:dyDescent="0.25">
      <c r="B149" s="2" t="s">
        <v>155</v>
      </c>
      <c r="C149" s="3">
        <v>29</v>
      </c>
      <c r="D149" s="3" t="s">
        <v>865</v>
      </c>
      <c r="E149" s="21">
        <v>2019</v>
      </c>
      <c r="F149" s="3">
        <v>24</v>
      </c>
      <c r="G149" s="3" t="s">
        <v>857</v>
      </c>
      <c r="H149" s="38">
        <v>2018</v>
      </c>
      <c r="I149" s="2" t="s">
        <v>2</v>
      </c>
    </row>
    <row r="150" spans="2:9" x14ac:dyDescent="0.25">
      <c r="B150" s="2" t="s">
        <v>156</v>
      </c>
      <c r="C150" s="3">
        <v>29</v>
      </c>
      <c r="D150" s="3" t="s">
        <v>865</v>
      </c>
      <c r="E150" s="21">
        <v>2019</v>
      </c>
      <c r="F150" s="3">
        <v>3</v>
      </c>
      <c r="G150" s="3" t="s">
        <v>865</v>
      </c>
      <c r="H150" s="38">
        <v>2019</v>
      </c>
      <c r="I150" s="2" t="s">
        <v>3</v>
      </c>
    </row>
    <row r="151" spans="2:9" x14ac:dyDescent="0.25">
      <c r="B151" s="2" t="s">
        <v>157</v>
      </c>
      <c r="C151" s="3">
        <v>29</v>
      </c>
      <c r="D151" s="3" t="s">
        <v>865</v>
      </c>
      <c r="E151" s="21">
        <v>2019</v>
      </c>
      <c r="F151" s="3">
        <v>6</v>
      </c>
      <c r="G151" s="3" t="s">
        <v>861</v>
      </c>
      <c r="H151" s="38">
        <v>2019</v>
      </c>
      <c r="I151" s="2" t="s">
        <v>2</v>
      </c>
    </row>
    <row r="152" spans="2:9" x14ac:dyDescent="0.25">
      <c r="B152" s="2" t="s">
        <v>158</v>
      </c>
      <c r="C152" s="3">
        <v>29</v>
      </c>
      <c r="D152" s="3" t="s">
        <v>865</v>
      </c>
      <c r="E152" s="21">
        <v>2019</v>
      </c>
      <c r="F152" s="3">
        <v>25</v>
      </c>
      <c r="G152" s="3" t="s">
        <v>867</v>
      </c>
      <c r="H152" s="38">
        <v>2019</v>
      </c>
      <c r="I152" s="2" t="s">
        <v>2</v>
      </c>
    </row>
    <row r="153" spans="2:9" x14ac:dyDescent="0.25">
      <c r="B153" s="2" t="s">
        <v>159</v>
      </c>
      <c r="C153" s="3">
        <v>29</v>
      </c>
      <c r="D153" s="3" t="s">
        <v>865</v>
      </c>
      <c r="E153" s="21">
        <v>2019</v>
      </c>
      <c r="F153" s="3">
        <v>22</v>
      </c>
      <c r="G153" s="3" t="s">
        <v>865</v>
      </c>
      <c r="H153" s="38">
        <v>2019</v>
      </c>
      <c r="I153" s="2" t="s">
        <v>3</v>
      </c>
    </row>
    <row r="154" spans="2:9" x14ac:dyDescent="0.25">
      <c r="B154" s="2" t="s">
        <v>160</v>
      </c>
      <c r="C154" s="3">
        <v>29</v>
      </c>
      <c r="D154" s="3" t="s">
        <v>865</v>
      </c>
      <c r="E154" s="21">
        <v>2019</v>
      </c>
      <c r="F154" s="3">
        <v>29</v>
      </c>
      <c r="G154" s="3" t="s">
        <v>857</v>
      </c>
      <c r="H154" s="38">
        <v>2018</v>
      </c>
      <c r="I154" s="2" t="s">
        <v>3</v>
      </c>
    </row>
    <row r="155" spans="2:9" x14ac:dyDescent="0.25">
      <c r="B155" s="2" t="s">
        <v>161</v>
      </c>
      <c r="C155" s="3">
        <v>29</v>
      </c>
      <c r="D155" s="3" t="s">
        <v>865</v>
      </c>
      <c r="E155" s="21">
        <v>2019</v>
      </c>
      <c r="F155" s="3">
        <v>16</v>
      </c>
      <c r="G155" s="3" t="s">
        <v>858</v>
      </c>
      <c r="H155" s="38">
        <v>2018</v>
      </c>
      <c r="I155" s="2" t="s">
        <v>2</v>
      </c>
    </row>
    <row r="156" spans="2:9" x14ac:dyDescent="0.25">
      <c r="B156" s="2" t="s">
        <v>162</v>
      </c>
      <c r="C156" s="3">
        <v>29</v>
      </c>
      <c r="D156" s="3" t="s">
        <v>865</v>
      </c>
      <c r="E156" s="21">
        <v>2019</v>
      </c>
      <c r="F156" s="3">
        <v>28</v>
      </c>
      <c r="G156" s="3" t="s">
        <v>870</v>
      </c>
      <c r="H156" s="38">
        <v>2018</v>
      </c>
      <c r="I156" s="2" t="s">
        <v>2</v>
      </c>
    </row>
    <row r="157" spans="2:9" x14ac:dyDescent="0.25">
      <c r="B157" s="2" t="s">
        <v>163</v>
      </c>
      <c r="C157" s="3">
        <v>29</v>
      </c>
      <c r="D157" s="3" t="s">
        <v>865</v>
      </c>
      <c r="E157" s="21">
        <v>2019</v>
      </c>
      <c r="F157" s="3">
        <v>10</v>
      </c>
      <c r="G157" s="3" t="s">
        <v>865</v>
      </c>
      <c r="H157" s="38">
        <v>2019</v>
      </c>
      <c r="I157" s="2" t="s">
        <v>2</v>
      </c>
    </row>
    <row r="158" spans="2:9" x14ac:dyDescent="0.25">
      <c r="B158" s="2" t="s">
        <v>164</v>
      </c>
      <c r="C158" s="3">
        <v>29</v>
      </c>
      <c r="D158" s="3" t="s">
        <v>865</v>
      </c>
      <c r="E158" s="21">
        <v>2019</v>
      </c>
      <c r="F158" s="3">
        <v>5</v>
      </c>
      <c r="G158" s="3" t="s">
        <v>870</v>
      </c>
      <c r="H158" s="38">
        <v>2018</v>
      </c>
      <c r="I158" s="2" t="s">
        <v>2</v>
      </c>
    </row>
    <row r="159" spans="2:9" x14ac:dyDescent="0.25">
      <c r="B159" s="2" t="s">
        <v>165</v>
      </c>
      <c r="C159" s="3">
        <v>29</v>
      </c>
      <c r="D159" s="3" t="s">
        <v>865</v>
      </c>
      <c r="E159" s="21">
        <v>2019</v>
      </c>
      <c r="F159" s="3">
        <v>19</v>
      </c>
      <c r="G159" s="3" t="s">
        <v>867</v>
      </c>
      <c r="H159" s="38">
        <v>2019</v>
      </c>
      <c r="I159" s="2" t="s">
        <v>3</v>
      </c>
    </row>
    <row r="160" spans="2:9" x14ac:dyDescent="0.25">
      <c r="B160" s="2" t="s">
        <v>166</v>
      </c>
      <c r="C160" s="3">
        <v>29</v>
      </c>
      <c r="D160" s="3" t="s">
        <v>865</v>
      </c>
      <c r="E160" s="21">
        <v>2019</v>
      </c>
      <c r="F160" s="3">
        <v>21</v>
      </c>
      <c r="G160" s="3" t="s">
        <v>858</v>
      </c>
      <c r="H160" s="38">
        <v>2018</v>
      </c>
      <c r="I160" s="2" t="s">
        <v>2</v>
      </c>
    </row>
    <row r="161" spans="2:9" x14ac:dyDescent="0.25">
      <c r="B161" s="2" t="s">
        <v>167</v>
      </c>
      <c r="C161" s="3">
        <v>29</v>
      </c>
      <c r="D161" s="3" t="s">
        <v>865</v>
      </c>
      <c r="E161" s="21">
        <v>2019</v>
      </c>
      <c r="F161" s="3">
        <v>26</v>
      </c>
      <c r="G161" s="3" t="s">
        <v>865</v>
      </c>
      <c r="H161" s="38">
        <v>2019</v>
      </c>
      <c r="I161" s="2" t="s">
        <v>2</v>
      </c>
    </row>
    <row r="162" spans="2:9" x14ac:dyDescent="0.25">
      <c r="B162" s="2" t="s">
        <v>168</v>
      </c>
      <c r="C162" s="3">
        <v>29</v>
      </c>
      <c r="D162" s="3" t="s">
        <v>865</v>
      </c>
      <c r="E162" s="21">
        <v>2019</v>
      </c>
      <c r="F162" s="3">
        <v>2</v>
      </c>
      <c r="G162" s="3" t="s">
        <v>861</v>
      </c>
      <c r="H162" s="38">
        <v>2019</v>
      </c>
      <c r="I162" s="2" t="s">
        <v>3</v>
      </c>
    </row>
    <row r="163" spans="2:9" x14ac:dyDescent="0.25">
      <c r="B163" s="2" t="s">
        <v>169</v>
      </c>
      <c r="C163" s="3">
        <v>29</v>
      </c>
      <c r="D163" s="3" t="s">
        <v>865</v>
      </c>
      <c r="E163" s="21">
        <v>2019</v>
      </c>
      <c r="F163" s="3">
        <v>5</v>
      </c>
      <c r="G163" s="3" t="s">
        <v>861</v>
      </c>
      <c r="H163" s="38">
        <v>2019</v>
      </c>
      <c r="I163" s="2" t="s">
        <v>3</v>
      </c>
    </row>
    <row r="164" spans="2:9" x14ac:dyDescent="0.25">
      <c r="B164" s="2" t="s">
        <v>170</v>
      </c>
      <c r="C164" s="3">
        <v>29</v>
      </c>
      <c r="D164" s="3" t="s">
        <v>865</v>
      </c>
      <c r="E164" s="21">
        <v>2019</v>
      </c>
      <c r="F164" s="3">
        <v>8</v>
      </c>
      <c r="G164" s="3" t="s">
        <v>867</v>
      </c>
      <c r="H164" s="38">
        <v>2019</v>
      </c>
      <c r="I164" s="2" t="s">
        <v>3</v>
      </c>
    </row>
    <row r="165" spans="2:9" x14ac:dyDescent="0.25">
      <c r="B165" s="2" t="s">
        <v>171</v>
      </c>
      <c r="C165" s="3">
        <v>29</v>
      </c>
      <c r="D165" s="3" t="s">
        <v>865</v>
      </c>
      <c r="E165" s="21">
        <v>2019</v>
      </c>
      <c r="F165" s="3">
        <v>29</v>
      </c>
      <c r="G165" s="3" t="s">
        <v>867</v>
      </c>
      <c r="H165" s="38">
        <v>2019</v>
      </c>
      <c r="I165" s="2" t="s">
        <v>2</v>
      </c>
    </row>
    <row r="166" spans="2:9" x14ac:dyDescent="0.25">
      <c r="B166" s="2" t="s">
        <v>172</v>
      </c>
      <c r="C166" s="3">
        <v>29</v>
      </c>
      <c r="D166" s="3" t="s">
        <v>865</v>
      </c>
      <c r="E166" s="21">
        <v>2019</v>
      </c>
      <c r="F166" s="3">
        <v>1</v>
      </c>
      <c r="G166" s="3" t="s">
        <v>866</v>
      </c>
      <c r="H166" s="38">
        <v>2018</v>
      </c>
      <c r="I166" s="2" t="s">
        <v>2</v>
      </c>
    </row>
    <row r="167" spans="2:9" x14ac:dyDescent="0.25">
      <c r="B167" s="2" t="s">
        <v>173</v>
      </c>
      <c r="C167" s="3">
        <v>29</v>
      </c>
      <c r="D167" s="3" t="s">
        <v>865</v>
      </c>
      <c r="E167" s="21">
        <v>2019</v>
      </c>
      <c r="F167" s="3">
        <v>18</v>
      </c>
      <c r="G167" s="3" t="s">
        <v>865</v>
      </c>
      <c r="H167" s="38">
        <v>2019</v>
      </c>
      <c r="I167" s="2" t="s">
        <v>3</v>
      </c>
    </row>
    <row r="168" spans="2:9" x14ac:dyDescent="0.25">
      <c r="B168" s="2" t="s">
        <v>174</v>
      </c>
      <c r="C168" s="3">
        <v>29</v>
      </c>
      <c r="D168" s="3" t="s">
        <v>865</v>
      </c>
      <c r="E168" s="21">
        <v>2019</v>
      </c>
      <c r="F168" s="3">
        <v>2</v>
      </c>
      <c r="G168" s="3" t="s">
        <v>856</v>
      </c>
      <c r="H168" s="38">
        <v>2019</v>
      </c>
      <c r="I168" s="2" t="s">
        <v>2</v>
      </c>
    </row>
    <row r="169" spans="2:9" x14ac:dyDescent="0.25">
      <c r="B169" s="2" t="s">
        <v>175</v>
      </c>
      <c r="C169" s="3">
        <v>29</v>
      </c>
      <c r="D169" s="3" t="s">
        <v>865</v>
      </c>
      <c r="E169" s="21">
        <v>2019</v>
      </c>
      <c r="F169" s="3">
        <v>18</v>
      </c>
      <c r="G169" s="3" t="s">
        <v>865</v>
      </c>
      <c r="H169" s="38">
        <v>2019</v>
      </c>
      <c r="I169" s="2" t="s">
        <v>2</v>
      </c>
    </row>
    <row r="170" spans="2:9" x14ac:dyDescent="0.25">
      <c r="B170" s="2" t="s">
        <v>176</v>
      </c>
      <c r="C170" s="3">
        <v>29</v>
      </c>
      <c r="D170" s="3" t="s">
        <v>865</v>
      </c>
      <c r="E170" s="21">
        <v>2019</v>
      </c>
      <c r="F170" s="3">
        <v>17</v>
      </c>
      <c r="G170" s="3" t="s">
        <v>865</v>
      </c>
      <c r="H170" s="38">
        <v>2019</v>
      </c>
      <c r="I170" s="2" t="s">
        <v>2</v>
      </c>
    </row>
    <row r="171" spans="2:9" x14ac:dyDescent="0.25">
      <c r="B171" s="2" t="s">
        <v>177</v>
      </c>
      <c r="C171" s="3">
        <v>29</v>
      </c>
      <c r="D171" s="3" t="s">
        <v>865</v>
      </c>
      <c r="E171" s="21">
        <v>2019</v>
      </c>
      <c r="F171" s="3">
        <v>18</v>
      </c>
      <c r="G171" s="3" t="s">
        <v>865</v>
      </c>
      <c r="H171" s="38">
        <v>2019</v>
      </c>
      <c r="I171" s="2" t="s">
        <v>2</v>
      </c>
    </row>
    <row r="172" spans="2:9" x14ac:dyDescent="0.25">
      <c r="B172" s="2" t="s">
        <v>178</v>
      </c>
      <c r="C172" s="3">
        <v>29</v>
      </c>
      <c r="D172" s="3" t="s">
        <v>865</v>
      </c>
      <c r="E172" s="21">
        <v>2019</v>
      </c>
      <c r="F172" s="3">
        <v>16</v>
      </c>
      <c r="G172" s="3" t="s">
        <v>865</v>
      </c>
      <c r="H172" s="38">
        <v>2019</v>
      </c>
      <c r="I172" s="2" t="s">
        <v>2</v>
      </c>
    </row>
    <row r="173" spans="2:9" x14ac:dyDescent="0.25">
      <c r="B173" s="2" t="s">
        <v>179</v>
      </c>
      <c r="C173" s="3">
        <v>29</v>
      </c>
      <c r="D173" s="3" t="s">
        <v>865</v>
      </c>
      <c r="E173" s="21">
        <v>2019</v>
      </c>
      <c r="F173" s="3">
        <v>30</v>
      </c>
      <c r="G173" s="3" t="s">
        <v>867</v>
      </c>
      <c r="H173" s="38">
        <v>2019</v>
      </c>
      <c r="I173" s="2" t="s">
        <v>2</v>
      </c>
    </row>
    <row r="174" spans="2:9" x14ac:dyDescent="0.25">
      <c r="B174" s="2" t="s">
        <v>180</v>
      </c>
      <c r="C174" s="3">
        <v>29</v>
      </c>
      <c r="D174" s="3" t="s">
        <v>865</v>
      </c>
      <c r="E174" s="21">
        <v>2019</v>
      </c>
      <c r="F174" s="3">
        <v>28</v>
      </c>
      <c r="G174" s="3" t="s">
        <v>866</v>
      </c>
      <c r="H174" s="38">
        <v>2018</v>
      </c>
      <c r="I174" s="2" t="s">
        <v>2</v>
      </c>
    </row>
    <row r="175" spans="2:9" x14ac:dyDescent="0.25">
      <c r="B175" s="2" t="s">
        <v>181</v>
      </c>
      <c r="C175" s="3">
        <v>29</v>
      </c>
      <c r="D175" s="3" t="s">
        <v>865</v>
      </c>
      <c r="E175" s="21">
        <v>2019</v>
      </c>
      <c r="F175" s="3">
        <v>22</v>
      </c>
      <c r="G175" s="3" t="s">
        <v>870</v>
      </c>
      <c r="H175" s="38">
        <v>2018</v>
      </c>
      <c r="I175" s="2" t="s">
        <v>3</v>
      </c>
    </row>
    <row r="176" spans="2:9" x14ac:dyDescent="0.25">
      <c r="B176" s="2" t="s">
        <v>182</v>
      </c>
      <c r="C176" s="3">
        <v>29</v>
      </c>
      <c r="D176" s="3" t="s">
        <v>865</v>
      </c>
      <c r="E176" s="21">
        <v>2019</v>
      </c>
      <c r="F176" s="3">
        <v>16</v>
      </c>
      <c r="G176" s="3" t="s">
        <v>864</v>
      </c>
      <c r="H176" s="38">
        <v>2018</v>
      </c>
      <c r="I176" s="2" t="s">
        <v>2</v>
      </c>
    </row>
    <row r="177" spans="2:9" x14ac:dyDescent="0.25">
      <c r="B177" s="2" t="s">
        <v>183</v>
      </c>
      <c r="C177" s="3">
        <v>29</v>
      </c>
      <c r="D177" s="3" t="s">
        <v>865</v>
      </c>
      <c r="E177" s="21">
        <v>2019</v>
      </c>
      <c r="F177" s="3">
        <v>13</v>
      </c>
      <c r="G177" s="3" t="s">
        <v>865</v>
      </c>
      <c r="H177" s="38">
        <v>2019</v>
      </c>
      <c r="I177" s="2" t="s">
        <v>3</v>
      </c>
    </row>
    <row r="178" spans="2:9" x14ac:dyDescent="0.25">
      <c r="B178" s="2" t="s">
        <v>184</v>
      </c>
      <c r="C178" s="3">
        <v>29</v>
      </c>
      <c r="D178" s="3" t="s">
        <v>865</v>
      </c>
      <c r="E178" s="21">
        <v>2019</v>
      </c>
      <c r="F178" s="3">
        <v>13</v>
      </c>
      <c r="G178" s="3" t="s">
        <v>867</v>
      </c>
      <c r="H178" s="38">
        <v>2019</v>
      </c>
      <c r="I178" s="2" t="s">
        <v>2</v>
      </c>
    </row>
    <row r="179" spans="2:9" x14ac:dyDescent="0.25">
      <c r="B179" s="2" t="s">
        <v>185</v>
      </c>
      <c r="C179" s="3">
        <v>29</v>
      </c>
      <c r="D179" s="3" t="s">
        <v>865</v>
      </c>
      <c r="E179" s="21">
        <v>2019</v>
      </c>
      <c r="F179" s="3">
        <v>10</v>
      </c>
      <c r="G179" s="3" t="s">
        <v>861</v>
      </c>
      <c r="H179" s="38">
        <v>2019</v>
      </c>
      <c r="I179" s="2" t="s">
        <v>2</v>
      </c>
    </row>
    <row r="180" spans="2:9" x14ac:dyDescent="0.25">
      <c r="B180" s="2" t="s">
        <v>186</v>
      </c>
      <c r="C180" s="3">
        <v>29</v>
      </c>
      <c r="D180" s="3" t="s">
        <v>865</v>
      </c>
      <c r="E180" s="21">
        <v>2019</v>
      </c>
      <c r="F180" s="3">
        <v>2</v>
      </c>
      <c r="G180" s="3" t="s">
        <v>856</v>
      </c>
      <c r="H180" s="38">
        <v>2019</v>
      </c>
      <c r="I180" s="2" t="s">
        <v>3</v>
      </c>
    </row>
    <row r="181" spans="2:9" x14ac:dyDescent="0.25">
      <c r="B181" s="2" t="s">
        <v>187</v>
      </c>
      <c r="C181" s="3">
        <v>29</v>
      </c>
      <c r="D181" s="3" t="s">
        <v>865</v>
      </c>
      <c r="E181" s="21">
        <v>2019</v>
      </c>
      <c r="F181" s="3">
        <v>29</v>
      </c>
      <c r="G181" s="3" t="s">
        <v>857</v>
      </c>
      <c r="H181" s="38">
        <v>2018</v>
      </c>
      <c r="I181" s="2" t="s">
        <v>3</v>
      </c>
    </row>
    <row r="182" spans="2:9" x14ac:dyDescent="0.25">
      <c r="B182" s="2" t="s">
        <v>188</v>
      </c>
      <c r="C182" s="3">
        <v>29</v>
      </c>
      <c r="D182" s="3" t="s">
        <v>865</v>
      </c>
      <c r="E182" s="21">
        <v>2019</v>
      </c>
      <c r="F182" s="3">
        <v>27</v>
      </c>
      <c r="G182" s="3" t="s">
        <v>856</v>
      </c>
      <c r="H182" s="38">
        <v>2019</v>
      </c>
      <c r="I182" s="2" t="s">
        <v>3</v>
      </c>
    </row>
    <row r="183" spans="2:9" x14ac:dyDescent="0.25">
      <c r="B183" s="2" t="s">
        <v>189</v>
      </c>
      <c r="C183" s="3">
        <v>29</v>
      </c>
      <c r="D183" s="3" t="s">
        <v>865</v>
      </c>
      <c r="E183" s="21">
        <v>2019</v>
      </c>
      <c r="F183" s="3">
        <v>24</v>
      </c>
      <c r="G183" s="3" t="s">
        <v>858</v>
      </c>
      <c r="H183" s="38">
        <v>2018</v>
      </c>
      <c r="I183" s="2" t="s">
        <v>3</v>
      </c>
    </row>
    <row r="184" spans="2:9" x14ac:dyDescent="0.25">
      <c r="B184" s="2" t="s">
        <v>190</v>
      </c>
      <c r="C184" s="3">
        <v>29</v>
      </c>
      <c r="D184" s="3" t="s">
        <v>865</v>
      </c>
      <c r="E184" s="21">
        <v>2019</v>
      </c>
      <c r="F184" s="3">
        <v>14</v>
      </c>
      <c r="G184" s="3" t="s">
        <v>867</v>
      </c>
      <c r="H184" s="38">
        <v>2019</v>
      </c>
      <c r="I184" s="2" t="s">
        <v>2</v>
      </c>
    </row>
    <row r="185" spans="2:9" x14ac:dyDescent="0.25">
      <c r="B185" s="2" t="s">
        <v>191</v>
      </c>
      <c r="C185" s="3">
        <v>29</v>
      </c>
      <c r="D185" s="3" t="s">
        <v>865</v>
      </c>
      <c r="E185" s="21">
        <v>2019</v>
      </c>
      <c r="F185" s="3">
        <v>15</v>
      </c>
      <c r="G185" s="3" t="s">
        <v>856</v>
      </c>
      <c r="H185" s="38">
        <v>2019</v>
      </c>
      <c r="I185" s="2" t="s">
        <v>2</v>
      </c>
    </row>
    <row r="186" spans="2:9" x14ac:dyDescent="0.25">
      <c r="B186" s="2" t="s">
        <v>192</v>
      </c>
      <c r="C186" s="3">
        <v>29</v>
      </c>
      <c r="D186" s="3" t="s">
        <v>865</v>
      </c>
      <c r="E186" s="21">
        <v>2019</v>
      </c>
      <c r="F186" s="3">
        <v>26</v>
      </c>
      <c r="G186" s="3" t="s">
        <v>865</v>
      </c>
      <c r="H186" s="38">
        <v>2019</v>
      </c>
      <c r="I186" s="2" t="s">
        <v>2</v>
      </c>
    </row>
    <row r="187" spans="2:9" x14ac:dyDescent="0.25">
      <c r="B187" s="2" t="s">
        <v>193</v>
      </c>
      <c r="C187" s="3">
        <v>29</v>
      </c>
      <c r="D187" s="3" t="s">
        <v>865</v>
      </c>
      <c r="E187" s="21">
        <v>2019</v>
      </c>
      <c r="F187" s="3">
        <v>18</v>
      </c>
      <c r="G187" s="3" t="s">
        <v>867</v>
      </c>
      <c r="H187" s="40">
        <v>2019</v>
      </c>
      <c r="I187" s="2" t="s">
        <v>2</v>
      </c>
    </row>
    <row r="188" spans="2:9" x14ac:dyDescent="0.25">
      <c r="B188" s="2" t="s">
        <v>194</v>
      </c>
      <c r="C188" s="3">
        <v>29</v>
      </c>
      <c r="D188" s="3" t="s">
        <v>865</v>
      </c>
      <c r="E188" s="21">
        <v>2019</v>
      </c>
      <c r="F188" s="3">
        <v>28</v>
      </c>
      <c r="G188" s="3" t="s">
        <v>864</v>
      </c>
      <c r="H188" s="38">
        <v>2018</v>
      </c>
      <c r="I188" s="2" t="s">
        <v>2</v>
      </c>
    </row>
    <row r="189" spans="2:9" x14ac:dyDescent="0.25">
      <c r="B189" s="2" t="s">
        <v>195</v>
      </c>
      <c r="C189" s="3">
        <v>29</v>
      </c>
      <c r="D189" s="3" t="s">
        <v>865</v>
      </c>
      <c r="E189" s="21">
        <v>2019</v>
      </c>
      <c r="F189" s="3">
        <v>24</v>
      </c>
      <c r="G189" s="3" t="s">
        <v>857</v>
      </c>
      <c r="H189" s="38">
        <v>2018</v>
      </c>
      <c r="I189" s="2" t="s">
        <v>3</v>
      </c>
    </row>
    <row r="190" spans="2:9" x14ac:dyDescent="0.25">
      <c r="B190" s="2" t="s">
        <v>196</v>
      </c>
      <c r="C190" s="3">
        <v>30</v>
      </c>
      <c r="D190" s="3" t="s">
        <v>865</v>
      </c>
      <c r="E190" s="21">
        <v>2019</v>
      </c>
      <c r="F190" s="3">
        <v>15</v>
      </c>
      <c r="G190" s="3" t="s">
        <v>865</v>
      </c>
      <c r="H190" s="38">
        <v>2018</v>
      </c>
      <c r="I190" s="2" t="s">
        <v>3</v>
      </c>
    </row>
    <row r="191" spans="2:9" x14ac:dyDescent="0.25">
      <c r="B191" s="2" t="s">
        <v>197</v>
      </c>
      <c r="C191" s="3">
        <v>30</v>
      </c>
      <c r="D191" s="3" t="s">
        <v>865</v>
      </c>
      <c r="E191" s="21">
        <v>2019</v>
      </c>
      <c r="F191" s="3">
        <v>25</v>
      </c>
      <c r="G191" s="3" t="s">
        <v>867</v>
      </c>
      <c r="H191" s="39">
        <v>1962</v>
      </c>
      <c r="I191" s="3" t="s">
        <v>3</v>
      </c>
    </row>
    <row r="192" spans="2:9" x14ac:dyDescent="0.25">
      <c r="B192" s="2" t="s">
        <v>198</v>
      </c>
      <c r="C192" s="3">
        <v>7</v>
      </c>
      <c r="D192" s="3" t="s">
        <v>866</v>
      </c>
      <c r="E192" s="21">
        <v>2019</v>
      </c>
      <c r="F192" s="3">
        <v>14</v>
      </c>
      <c r="G192" s="3" t="s">
        <v>868</v>
      </c>
      <c r="H192" s="38">
        <v>2016</v>
      </c>
      <c r="I192" s="2" t="s">
        <v>2</v>
      </c>
    </row>
    <row r="193" spans="2:9" x14ac:dyDescent="0.25">
      <c r="B193" s="2" t="s">
        <v>199</v>
      </c>
      <c r="C193" s="3">
        <v>7</v>
      </c>
      <c r="D193" s="3" t="s">
        <v>866</v>
      </c>
      <c r="E193" s="21">
        <v>2019</v>
      </c>
      <c r="F193" s="3">
        <v>2</v>
      </c>
      <c r="G193" s="3" t="s">
        <v>864</v>
      </c>
      <c r="H193" s="38">
        <v>1970</v>
      </c>
      <c r="I193" s="2" t="s">
        <v>3</v>
      </c>
    </row>
    <row r="194" spans="2:9" x14ac:dyDescent="0.25">
      <c r="B194" s="2" t="s">
        <v>200</v>
      </c>
      <c r="C194" s="3">
        <v>7</v>
      </c>
      <c r="D194" s="3" t="s">
        <v>866</v>
      </c>
      <c r="E194" s="21">
        <v>2019</v>
      </c>
      <c r="F194" s="3">
        <v>8</v>
      </c>
      <c r="G194" s="3" t="s">
        <v>864</v>
      </c>
      <c r="H194" s="38">
        <v>2018</v>
      </c>
      <c r="I194" s="2" t="s">
        <v>3</v>
      </c>
    </row>
    <row r="195" spans="2:9" x14ac:dyDescent="0.25">
      <c r="B195" s="2" t="s">
        <v>201</v>
      </c>
      <c r="C195" s="3">
        <v>8</v>
      </c>
      <c r="D195" s="3" t="s">
        <v>866</v>
      </c>
      <c r="E195" s="21">
        <v>2019</v>
      </c>
      <c r="F195" s="3">
        <v>26</v>
      </c>
      <c r="G195" s="3" t="s">
        <v>857</v>
      </c>
      <c r="H195" s="38">
        <v>2016</v>
      </c>
      <c r="I195" s="2" t="s">
        <v>2</v>
      </c>
    </row>
    <row r="196" spans="2:9" x14ac:dyDescent="0.25">
      <c r="B196" s="2" t="s">
        <v>202</v>
      </c>
      <c r="C196" s="3">
        <v>8</v>
      </c>
      <c r="D196" s="3" t="s">
        <v>866</v>
      </c>
      <c r="E196" s="21">
        <v>2019</v>
      </c>
      <c r="F196" s="3">
        <v>26</v>
      </c>
      <c r="G196" s="3" t="s">
        <v>869</v>
      </c>
      <c r="H196" s="38">
        <v>2003</v>
      </c>
      <c r="I196" s="2" t="s">
        <v>2</v>
      </c>
    </row>
    <row r="197" spans="2:9" x14ac:dyDescent="0.25">
      <c r="B197" s="2" t="s">
        <v>203</v>
      </c>
      <c r="C197" s="3">
        <v>9</v>
      </c>
      <c r="D197" s="3" t="s">
        <v>866</v>
      </c>
      <c r="E197" s="21">
        <v>2019</v>
      </c>
      <c r="F197" s="3">
        <v>9</v>
      </c>
      <c r="G197" s="3" t="s">
        <v>865</v>
      </c>
      <c r="H197" s="38">
        <v>2019</v>
      </c>
      <c r="I197" s="2" t="s">
        <v>2</v>
      </c>
    </row>
    <row r="198" spans="2:9" x14ac:dyDescent="0.25">
      <c r="B198" s="2" t="s">
        <v>204</v>
      </c>
      <c r="C198" s="3">
        <v>9</v>
      </c>
      <c r="D198" s="3" t="s">
        <v>866</v>
      </c>
      <c r="E198" s="21">
        <v>2019</v>
      </c>
      <c r="F198" s="3">
        <v>4</v>
      </c>
      <c r="G198" s="3" t="s">
        <v>861</v>
      </c>
      <c r="H198" s="38">
        <v>2018</v>
      </c>
      <c r="I198" s="2" t="s">
        <v>3</v>
      </c>
    </row>
    <row r="199" spans="2:9" x14ac:dyDescent="0.25">
      <c r="B199" s="2" t="s">
        <v>205</v>
      </c>
      <c r="C199" s="3">
        <v>9</v>
      </c>
      <c r="D199" s="3" t="s">
        <v>866</v>
      </c>
      <c r="E199" s="21">
        <v>2019</v>
      </c>
      <c r="F199" s="3">
        <v>21</v>
      </c>
      <c r="G199" s="3" t="s">
        <v>867</v>
      </c>
      <c r="H199" s="38">
        <v>2019</v>
      </c>
      <c r="I199" s="2" t="s">
        <v>2</v>
      </c>
    </row>
    <row r="200" spans="2:9" x14ac:dyDescent="0.25">
      <c r="B200" s="2" t="s">
        <v>206</v>
      </c>
      <c r="C200" s="3">
        <v>10</v>
      </c>
      <c r="D200" s="3" t="s">
        <v>866</v>
      </c>
      <c r="E200" s="21">
        <v>2019</v>
      </c>
      <c r="F200" s="3">
        <v>7</v>
      </c>
      <c r="G200" s="3" t="s">
        <v>869</v>
      </c>
      <c r="H200" s="38">
        <v>2017</v>
      </c>
      <c r="I200" s="2" t="s">
        <v>3</v>
      </c>
    </row>
    <row r="201" spans="2:9" x14ac:dyDescent="0.25">
      <c r="B201" s="2" t="s">
        <v>207</v>
      </c>
      <c r="C201" s="3">
        <v>14</v>
      </c>
      <c r="D201" s="3" t="s">
        <v>866</v>
      </c>
      <c r="E201" s="21">
        <v>2019</v>
      </c>
      <c r="F201" s="3">
        <v>22</v>
      </c>
      <c r="G201" s="3" t="s">
        <v>865</v>
      </c>
      <c r="H201" s="38">
        <v>2019</v>
      </c>
      <c r="I201" s="2" t="s">
        <v>3</v>
      </c>
    </row>
    <row r="202" spans="2:9" x14ac:dyDescent="0.25">
      <c r="B202" s="2" t="s">
        <v>208</v>
      </c>
      <c r="C202" s="3">
        <v>14</v>
      </c>
      <c r="D202" s="3" t="s">
        <v>866</v>
      </c>
      <c r="E202" s="21">
        <v>2019</v>
      </c>
      <c r="F202" s="3">
        <v>25</v>
      </c>
      <c r="G202" s="3" t="s">
        <v>865</v>
      </c>
      <c r="H202" s="38">
        <v>2019</v>
      </c>
      <c r="I202" s="2" t="s">
        <v>3</v>
      </c>
    </row>
    <row r="203" spans="2:9" x14ac:dyDescent="0.25">
      <c r="B203" s="2" t="s">
        <v>209</v>
      </c>
      <c r="C203" s="3">
        <v>14</v>
      </c>
      <c r="D203" s="3" t="s">
        <v>866</v>
      </c>
      <c r="E203" s="21">
        <v>2019</v>
      </c>
      <c r="F203" s="3">
        <v>18</v>
      </c>
      <c r="G203" s="3" t="s">
        <v>864</v>
      </c>
      <c r="H203" s="38">
        <v>2016</v>
      </c>
      <c r="I203" s="2" t="s">
        <v>2</v>
      </c>
    </row>
    <row r="204" spans="2:9" x14ac:dyDescent="0.25">
      <c r="B204" s="2" t="s">
        <v>210</v>
      </c>
      <c r="C204" s="3">
        <v>15</v>
      </c>
      <c r="D204" s="3" t="s">
        <v>866</v>
      </c>
      <c r="E204" s="21">
        <v>2019</v>
      </c>
      <c r="F204" s="3">
        <v>1</v>
      </c>
      <c r="G204" s="3" t="s">
        <v>861</v>
      </c>
      <c r="H204" s="38">
        <v>2016</v>
      </c>
      <c r="I204" s="2" t="s">
        <v>3</v>
      </c>
    </row>
    <row r="205" spans="2:9" x14ac:dyDescent="0.25">
      <c r="B205" s="2" t="s">
        <v>211</v>
      </c>
      <c r="C205" s="3">
        <v>15</v>
      </c>
      <c r="D205" s="3" t="s">
        <v>866</v>
      </c>
      <c r="E205" s="21">
        <v>2019</v>
      </c>
      <c r="F205" s="3">
        <v>28</v>
      </c>
      <c r="G205" s="3" t="s">
        <v>867</v>
      </c>
      <c r="H205" s="38">
        <v>2019</v>
      </c>
      <c r="I205" s="2" t="s">
        <v>3</v>
      </c>
    </row>
    <row r="206" spans="2:9" x14ac:dyDescent="0.25">
      <c r="B206" s="2" t="s">
        <v>212</v>
      </c>
      <c r="C206" s="3">
        <v>17</v>
      </c>
      <c r="D206" s="3" t="s">
        <v>866</v>
      </c>
      <c r="E206" s="21">
        <v>2019</v>
      </c>
      <c r="F206" s="3">
        <v>28</v>
      </c>
      <c r="G206" s="3" t="s">
        <v>861</v>
      </c>
      <c r="H206" s="38">
        <v>2019</v>
      </c>
      <c r="I206" s="2" t="s">
        <v>2</v>
      </c>
    </row>
    <row r="207" spans="2:9" x14ac:dyDescent="0.25">
      <c r="B207" s="2" t="s">
        <v>213</v>
      </c>
      <c r="C207" s="3">
        <v>17</v>
      </c>
      <c r="D207" s="3" t="s">
        <v>866</v>
      </c>
      <c r="E207" s="21">
        <v>2019</v>
      </c>
      <c r="F207" s="3">
        <v>4</v>
      </c>
      <c r="G207" s="3" t="s">
        <v>867</v>
      </c>
      <c r="H207" s="38">
        <v>2019</v>
      </c>
      <c r="I207" s="2" t="s">
        <v>3</v>
      </c>
    </row>
    <row r="208" spans="2:9" x14ac:dyDescent="0.25">
      <c r="B208" s="2" t="s">
        <v>214</v>
      </c>
      <c r="C208" s="3">
        <v>20</v>
      </c>
      <c r="D208" s="3" t="s">
        <v>866</v>
      </c>
      <c r="E208" s="21">
        <v>2019</v>
      </c>
      <c r="F208" s="3">
        <v>22</v>
      </c>
      <c r="G208" s="3" t="s">
        <v>867</v>
      </c>
      <c r="H208" s="38">
        <v>2019</v>
      </c>
      <c r="I208" s="2" t="s">
        <v>2</v>
      </c>
    </row>
    <row r="209" spans="2:9" x14ac:dyDescent="0.25">
      <c r="B209" s="2" t="s">
        <v>215</v>
      </c>
      <c r="C209" s="3">
        <v>20</v>
      </c>
      <c r="D209" s="3" t="s">
        <v>866</v>
      </c>
      <c r="E209" s="21">
        <v>2019</v>
      </c>
      <c r="F209" s="3">
        <v>3</v>
      </c>
      <c r="G209" s="3" t="s">
        <v>857</v>
      </c>
      <c r="H209" s="38">
        <v>1962</v>
      </c>
      <c r="I209" s="2" t="s">
        <v>2</v>
      </c>
    </row>
    <row r="210" spans="2:9" x14ac:dyDescent="0.25">
      <c r="B210" s="2" t="s">
        <v>216</v>
      </c>
      <c r="C210" s="3">
        <v>20</v>
      </c>
      <c r="D210" s="3" t="s">
        <v>866</v>
      </c>
      <c r="E210" s="21">
        <v>2019</v>
      </c>
      <c r="F210" s="3">
        <v>22</v>
      </c>
      <c r="G210" s="3" t="s">
        <v>865</v>
      </c>
      <c r="H210" s="38">
        <v>2019</v>
      </c>
      <c r="I210" s="2" t="s">
        <v>2</v>
      </c>
    </row>
    <row r="211" spans="2:9" x14ac:dyDescent="0.25">
      <c r="B211" s="2" t="s">
        <v>217</v>
      </c>
      <c r="C211" s="3">
        <v>27</v>
      </c>
      <c r="D211" s="3" t="s">
        <v>866</v>
      </c>
      <c r="E211" s="21">
        <v>2019</v>
      </c>
      <c r="F211" s="3">
        <v>10</v>
      </c>
      <c r="G211" s="3" t="s">
        <v>870</v>
      </c>
      <c r="H211" s="38">
        <v>2017</v>
      </c>
      <c r="I211" s="2" t="s">
        <v>2</v>
      </c>
    </row>
    <row r="212" spans="2:9" x14ac:dyDescent="0.25">
      <c r="B212" s="2" t="s">
        <v>218</v>
      </c>
      <c r="C212" s="3">
        <v>28</v>
      </c>
      <c r="D212" s="3" t="s">
        <v>866</v>
      </c>
      <c r="E212" s="21">
        <v>2019</v>
      </c>
      <c r="F212" s="3">
        <v>9</v>
      </c>
      <c r="G212" s="3" t="s">
        <v>867</v>
      </c>
      <c r="H212" s="38">
        <v>2003</v>
      </c>
      <c r="I212" s="2" t="s">
        <v>3</v>
      </c>
    </row>
    <row r="213" spans="2:9" x14ac:dyDescent="0.25">
      <c r="B213" s="2" t="s">
        <v>219</v>
      </c>
      <c r="C213" s="3">
        <v>29</v>
      </c>
      <c r="D213" s="3" t="s">
        <v>866</v>
      </c>
      <c r="E213" s="21">
        <v>2019</v>
      </c>
      <c r="F213" s="3">
        <v>11</v>
      </c>
      <c r="G213" s="3" t="s">
        <v>868</v>
      </c>
      <c r="H213" s="38">
        <v>2016</v>
      </c>
      <c r="I213" s="2" t="s">
        <v>2</v>
      </c>
    </row>
    <row r="214" spans="2:9" x14ac:dyDescent="0.25">
      <c r="B214" s="2" t="s">
        <v>220</v>
      </c>
      <c r="C214" s="3">
        <v>30</v>
      </c>
      <c r="D214" s="3" t="s">
        <v>866</v>
      </c>
      <c r="E214" s="21">
        <v>2019</v>
      </c>
      <c r="F214" s="3">
        <v>15</v>
      </c>
      <c r="G214" s="3" t="s">
        <v>866</v>
      </c>
      <c r="H214" s="38">
        <v>2019</v>
      </c>
      <c r="I214" s="2" t="s">
        <v>3</v>
      </c>
    </row>
    <row r="215" spans="2:9" x14ac:dyDescent="0.25">
      <c r="B215" s="2" t="s">
        <v>221</v>
      </c>
      <c r="C215" s="3">
        <v>30</v>
      </c>
      <c r="D215" s="3" t="s">
        <v>866</v>
      </c>
      <c r="E215" s="21">
        <v>2019</v>
      </c>
      <c r="F215" s="3">
        <v>11</v>
      </c>
      <c r="G215" s="3" t="s">
        <v>856</v>
      </c>
      <c r="H215" s="38">
        <v>2018</v>
      </c>
      <c r="I215" s="2" t="s">
        <v>3</v>
      </c>
    </row>
    <row r="216" spans="2:9" x14ac:dyDescent="0.25">
      <c r="B216" s="2" t="s">
        <v>222</v>
      </c>
      <c r="C216" s="3">
        <v>30</v>
      </c>
      <c r="D216" s="3" t="s">
        <v>866</v>
      </c>
      <c r="E216" s="21">
        <v>2019</v>
      </c>
      <c r="F216" s="3">
        <v>26</v>
      </c>
      <c r="G216" s="3" t="s">
        <v>858</v>
      </c>
      <c r="H216" s="38">
        <v>2019</v>
      </c>
      <c r="I216" s="2" t="s">
        <v>2</v>
      </c>
    </row>
    <row r="217" spans="2:9" x14ac:dyDescent="0.25">
      <c r="B217" s="2" t="s">
        <v>223</v>
      </c>
      <c r="C217" s="3">
        <v>31</v>
      </c>
      <c r="D217" s="3" t="s">
        <v>866</v>
      </c>
      <c r="E217" s="21">
        <v>2019</v>
      </c>
      <c r="F217" s="3">
        <v>21</v>
      </c>
      <c r="G217" s="3" t="s">
        <v>857</v>
      </c>
      <c r="H217" s="38">
        <v>2015</v>
      </c>
      <c r="I217" s="2" t="s">
        <v>2</v>
      </c>
    </row>
    <row r="218" spans="2:9" x14ac:dyDescent="0.25">
      <c r="B218" s="2" t="s">
        <v>224</v>
      </c>
      <c r="C218" s="3">
        <v>3</v>
      </c>
      <c r="D218" s="3" t="s">
        <v>868</v>
      </c>
      <c r="E218" s="21">
        <v>2019</v>
      </c>
      <c r="F218" s="3">
        <v>11</v>
      </c>
      <c r="G218" s="3" t="s">
        <v>866</v>
      </c>
      <c r="H218" s="38">
        <v>2019</v>
      </c>
      <c r="I218" s="2" t="s">
        <v>2</v>
      </c>
    </row>
    <row r="219" spans="2:9" x14ac:dyDescent="0.25">
      <c r="B219" s="2" t="s">
        <v>225</v>
      </c>
      <c r="C219" s="3">
        <v>4</v>
      </c>
      <c r="D219" s="3" t="s">
        <v>868</v>
      </c>
      <c r="E219" s="21">
        <v>2019</v>
      </c>
      <c r="F219" s="3">
        <v>28</v>
      </c>
      <c r="G219" s="3" t="s">
        <v>865</v>
      </c>
      <c r="H219" s="38">
        <v>2017</v>
      </c>
      <c r="I219" s="2" t="s">
        <v>3</v>
      </c>
    </row>
    <row r="220" spans="2:9" x14ac:dyDescent="0.25">
      <c r="B220" s="2" t="s">
        <v>226</v>
      </c>
      <c r="C220" s="3">
        <v>5</v>
      </c>
      <c r="D220" s="3" t="s">
        <v>868</v>
      </c>
      <c r="E220" s="21">
        <v>2019</v>
      </c>
      <c r="F220" s="3">
        <v>16</v>
      </c>
      <c r="G220" s="3" t="s">
        <v>866</v>
      </c>
      <c r="H220" s="38">
        <v>2019</v>
      </c>
      <c r="I220" s="2" t="s">
        <v>3</v>
      </c>
    </row>
    <row r="221" spans="2:9" x14ac:dyDescent="0.25">
      <c r="B221" s="2" t="s">
        <v>227</v>
      </c>
      <c r="C221" s="3">
        <v>5</v>
      </c>
      <c r="D221" s="3" t="s">
        <v>868</v>
      </c>
      <c r="E221" s="21">
        <v>2019</v>
      </c>
      <c r="F221" s="3">
        <v>1</v>
      </c>
      <c r="G221" s="3" t="s">
        <v>868</v>
      </c>
      <c r="H221" s="38">
        <v>2019</v>
      </c>
      <c r="I221" s="2" t="s">
        <v>3</v>
      </c>
    </row>
    <row r="222" spans="2:9" x14ac:dyDescent="0.25">
      <c r="B222" s="2" t="s">
        <v>228</v>
      </c>
      <c r="C222" s="3">
        <v>10</v>
      </c>
      <c r="D222" s="3" t="s">
        <v>868</v>
      </c>
      <c r="E222" s="21">
        <v>2019</v>
      </c>
      <c r="F222" s="3">
        <v>8</v>
      </c>
      <c r="G222" s="3" t="s">
        <v>866</v>
      </c>
      <c r="H222" s="38">
        <v>2019</v>
      </c>
      <c r="I222" s="2" t="s">
        <v>3</v>
      </c>
    </row>
    <row r="223" spans="2:9" x14ac:dyDescent="0.25">
      <c r="B223" s="2" t="s">
        <v>229</v>
      </c>
      <c r="C223" s="3">
        <v>10</v>
      </c>
      <c r="D223" s="3" t="s">
        <v>868</v>
      </c>
      <c r="E223" s="21">
        <v>2019</v>
      </c>
      <c r="F223" s="3">
        <v>19</v>
      </c>
      <c r="G223" s="3" t="s">
        <v>866</v>
      </c>
      <c r="H223" s="38">
        <v>2019</v>
      </c>
      <c r="I223" s="2" t="s">
        <v>2</v>
      </c>
    </row>
    <row r="224" spans="2:9" x14ac:dyDescent="0.25">
      <c r="B224" s="2" t="s">
        <v>230</v>
      </c>
      <c r="C224" s="3">
        <v>12</v>
      </c>
      <c r="D224" s="3" t="s">
        <v>868</v>
      </c>
      <c r="E224" s="21">
        <v>2019</v>
      </c>
      <c r="F224" s="3">
        <v>15</v>
      </c>
      <c r="G224" s="3" t="s">
        <v>866</v>
      </c>
      <c r="H224" s="38">
        <v>2019</v>
      </c>
      <c r="I224" s="2" t="s">
        <v>3</v>
      </c>
    </row>
    <row r="225" spans="2:9" x14ac:dyDescent="0.25">
      <c r="B225" s="2" t="s">
        <v>231</v>
      </c>
      <c r="C225" s="3">
        <v>13</v>
      </c>
      <c r="D225" s="3" t="s">
        <v>868</v>
      </c>
      <c r="E225" s="21">
        <v>2019</v>
      </c>
      <c r="F225" s="3">
        <v>24</v>
      </c>
      <c r="G225" s="3" t="s">
        <v>861</v>
      </c>
      <c r="H225" s="38">
        <v>2016</v>
      </c>
      <c r="I225" s="2" t="s">
        <v>2</v>
      </c>
    </row>
    <row r="226" spans="2:9" x14ac:dyDescent="0.25">
      <c r="B226" s="2" t="s">
        <v>232</v>
      </c>
      <c r="C226" s="3">
        <v>13</v>
      </c>
      <c r="D226" s="3" t="s">
        <v>868</v>
      </c>
      <c r="E226" s="21">
        <v>2019</v>
      </c>
      <c r="F226" s="3">
        <v>13</v>
      </c>
      <c r="G226" s="3" t="s">
        <v>861</v>
      </c>
      <c r="H226" s="38">
        <v>2019</v>
      </c>
      <c r="I226" s="2" t="s">
        <v>2</v>
      </c>
    </row>
    <row r="227" spans="2:9" x14ac:dyDescent="0.25">
      <c r="B227" s="2" t="s">
        <v>233</v>
      </c>
      <c r="C227" s="3">
        <v>13</v>
      </c>
      <c r="D227" s="3" t="s">
        <v>868</v>
      </c>
      <c r="E227" s="21">
        <v>2019</v>
      </c>
      <c r="F227" s="3">
        <v>10</v>
      </c>
      <c r="G227" s="3" t="s">
        <v>865</v>
      </c>
      <c r="H227" s="38">
        <v>2016</v>
      </c>
      <c r="I227" s="2" t="s">
        <v>3</v>
      </c>
    </row>
    <row r="228" spans="2:9" x14ac:dyDescent="0.25">
      <c r="B228" s="2" t="s">
        <v>234</v>
      </c>
      <c r="C228" s="3">
        <v>17</v>
      </c>
      <c r="D228" s="3" t="s">
        <v>868</v>
      </c>
      <c r="E228" s="21">
        <v>2019</v>
      </c>
      <c r="F228" s="3">
        <v>5</v>
      </c>
      <c r="G228" s="3" t="s">
        <v>868</v>
      </c>
      <c r="H228" s="38">
        <v>2019</v>
      </c>
      <c r="I228" s="2" t="s">
        <v>3</v>
      </c>
    </row>
    <row r="229" spans="2:9" x14ac:dyDescent="0.25">
      <c r="B229" s="2" t="s">
        <v>235</v>
      </c>
      <c r="C229" s="3">
        <v>17</v>
      </c>
      <c r="D229" s="3" t="s">
        <v>868</v>
      </c>
      <c r="E229" s="21">
        <v>2019</v>
      </c>
      <c r="F229" s="3">
        <v>10</v>
      </c>
      <c r="G229" s="3" t="s">
        <v>864</v>
      </c>
      <c r="H229" s="38">
        <v>2009</v>
      </c>
      <c r="I229" s="2" t="s">
        <v>3</v>
      </c>
    </row>
    <row r="230" spans="2:9" x14ac:dyDescent="0.25">
      <c r="B230" s="2" t="s">
        <v>236</v>
      </c>
      <c r="C230" s="3">
        <v>21</v>
      </c>
      <c r="D230" s="3" t="s">
        <v>868</v>
      </c>
      <c r="E230" s="21">
        <v>2019</v>
      </c>
      <c r="F230" s="3">
        <v>26</v>
      </c>
      <c r="G230" s="3" t="s">
        <v>899</v>
      </c>
      <c r="H230" s="38">
        <v>2018</v>
      </c>
      <c r="I230" s="2" t="s">
        <v>2</v>
      </c>
    </row>
    <row r="231" spans="2:9" x14ac:dyDescent="0.25">
      <c r="B231" s="2" t="s">
        <v>237</v>
      </c>
      <c r="C231" s="3">
        <v>24</v>
      </c>
      <c r="D231" s="3" t="s">
        <v>868</v>
      </c>
      <c r="E231" s="21">
        <v>2019</v>
      </c>
      <c r="F231" s="3">
        <v>5</v>
      </c>
      <c r="G231" s="3" t="s">
        <v>868</v>
      </c>
      <c r="H231" s="38">
        <v>2019</v>
      </c>
      <c r="I231" s="2" t="s">
        <v>2</v>
      </c>
    </row>
    <row r="232" spans="2:9" x14ac:dyDescent="0.25">
      <c r="B232" s="2" t="s">
        <v>238</v>
      </c>
      <c r="C232" s="3">
        <v>24</v>
      </c>
      <c r="D232" s="3" t="s">
        <v>868</v>
      </c>
      <c r="E232" s="21">
        <v>2019</v>
      </c>
      <c r="F232" s="3">
        <v>11</v>
      </c>
      <c r="G232" s="3" t="s">
        <v>865</v>
      </c>
      <c r="H232" s="38">
        <v>2019</v>
      </c>
      <c r="I232" s="2" t="s">
        <v>3</v>
      </c>
    </row>
    <row r="233" spans="2:9" x14ac:dyDescent="0.25">
      <c r="B233" s="2" t="s">
        <v>239</v>
      </c>
      <c r="C233" s="3">
        <v>24</v>
      </c>
      <c r="D233" s="3" t="s">
        <v>868</v>
      </c>
      <c r="E233" s="21">
        <v>2019</v>
      </c>
      <c r="F233" s="3">
        <v>16</v>
      </c>
      <c r="G233" s="3" t="s">
        <v>866</v>
      </c>
      <c r="H233" s="38">
        <v>2019</v>
      </c>
      <c r="I233" s="2" t="s">
        <v>2</v>
      </c>
    </row>
    <row r="234" spans="2:9" x14ac:dyDescent="0.25">
      <c r="B234" s="2" t="s">
        <v>240</v>
      </c>
      <c r="C234" s="3">
        <v>26</v>
      </c>
      <c r="D234" s="3" t="s">
        <v>868</v>
      </c>
      <c r="E234" s="21">
        <v>2019</v>
      </c>
      <c r="F234" s="3">
        <v>24</v>
      </c>
      <c r="G234" s="3" t="s">
        <v>866</v>
      </c>
      <c r="H234" s="38">
        <v>2019</v>
      </c>
      <c r="I234" s="2" t="s">
        <v>3</v>
      </c>
    </row>
    <row r="235" spans="2:9" x14ac:dyDescent="0.25">
      <c r="B235" s="2" t="s">
        <v>241</v>
      </c>
      <c r="C235" s="3">
        <v>27</v>
      </c>
      <c r="D235" s="3" t="s">
        <v>868</v>
      </c>
      <c r="E235" s="21">
        <v>2019</v>
      </c>
      <c r="F235" s="3">
        <v>16</v>
      </c>
      <c r="G235" s="3" t="s">
        <v>867</v>
      </c>
      <c r="H235" s="38">
        <v>2007</v>
      </c>
      <c r="I235" s="2" t="s">
        <v>3</v>
      </c>
    </row>
    <row r="236" spans="2:9" x14ac:dyDescent="0.25">
      <c r="B236" s="2" t="s">
        <v>242</v>
      </c>
      <c r="C236" s="3">
        <v>27</v>
      </c>
      <c r="D236" s="3" t="s">
        <v>868</v>
      </c>
      <c r="E236" s="21">
        <v>2019</v>
      </c>
      <c r="F236" s="3">
        <v>18</v>
      </c>
      <c r="G236" s="3" t="s">
        <v>868</v>
      </c>
      <c r="H236" s="38">
        <v>2019</v>
      </c>
      <c r="I236" s="2" t="s">
        <v>2</v>
      </c>
    </row>
    <row r="237" spans="2:9" x14ac:dyDescent="0.25">
      <c r="B237" s="2" t="s">
        <v>243</v>
      </c>
      <c r="C237" s="3">
        <v>28</v>
      </c>
      <c r="D237" s="3" t="s">
        <v>868</v>
      </c>
      <c r="E237" s="21">
        <v>2019</v>
      </c>
      <c r="F237" s="3">
        <v>17</v>
      </c>
      <c r="G237" s="3" t="s">
        <v>858</v>
      </c>
      <c r="H237" s="38">
        <v>2017</v>
      </c>
      <c r="I237" s="2" t="s">
        <v>2</v>
      </c>
    </row>
    <row r="238" spans="2:9" x14ac:dyDescent="0.25">
      <c r="B238" s="41" t="s">
        <v>244</v>
      </c>
      <c r="C238" s="3">
        <v>28</v>
      </c>
      <c r="D238" s="3" t="s">
        <v>868</v>
      </c>
      <c r="E238" s="21">
        <v>2019</v>
      </c>
      <c r="F238" s="3">
        <v>31</v>
      </c>
      <c r="G238" s="3" t="s">
        <v>866</v>
      </c>
      <c r="H238" s="38">
        <v>2019</v>
      </c>
      <c r="I238" s="42" t="s">
        <v>3</v>
      </c>
    </row>
    <row r="239" spans="2:9" x14ac:dyDescent="0.25">
      <c r="B239" s="2" t="s">
        <v>245</v>
      </c>
      <c r="C239" s="2">
        <v>1</v>
      </c>
      <c r="D239" s="2" t="s">
        <v>864</v>
      </c>
      <c r="E239" s="21">
        <v>2019</v>
      </c>
      <c r="F239" s="26">
        <v>31</v>
      </c>
      <c r="G239" s="2" t="s">
        <v>866</v>
      </c>
      <c r="H239" s="38">
        <v>2019</v>
      </c>
      <c r="I239" s="42" t="s">
        <v>3</v>
      </c>
    </row>
    <row r="240" spans="2:9" x14ac:dyDescent="0.25">
      <c r="B240" s="2" t="s">
        <v>246</v>
      </c>
      <c r="C240" s="3">
        <v>1</v>
      </c>
      <c r="D240" s="3" t="s">
        <v>864</v>
      </c>
      <c r="E240" s="21">
        <v>2019</v>
      </c>
      <c r="F240" s="3">
        <v>22</v>
      </c>
      <c r="G240" s="3" t="s">
        <v>868</v>
      </c>
      <c r="H240" s="38">
        <v>2019</v>
      </c>
      <c r="I240" s="42" t="s">
        <v>3</v>
      </c>
    </row>
    <row r="241" spans="2:9" x14ac:dyDescent="0.25">
      <c r="B241" s="2" t="s">
        <v>247</v>
      </c>
      <c r="C241" s="3">
        <v>1</v>
      </c>
      <c r="D241" s="3" t="s">
        <v>864</v>
      </c>
      <c r="E241" s="21">
        <v>2019</v>
      </c>
      <c r="F241" s="3">
        <v>23</v>
      </c>
      <c r="G241" s="3" t="s">
        <v>865</v>
      </c>
      <c r="H241" s="38">
        <v>2019</v>
      </c>
      <c r="I241" s="42" t="s">
        <v>3</v>
      </c>
    </row>
    <row r="242" spans="2:9" x14ac:dyDescent="0.25">
      <c r="B242" s="2" t="s">
        <v>248</v>
      </c>
      <c r="C242" s="3">
        <v>1</v>
      </c>
      <c r="D242" s="3" t="s">
        <v>864</v>
      </c>
      <c r="E242" s="21">
        <v>2019</v>
      </c>
      <c r="F242" s="3">
        <v>15</v>
      </c>
      <c r="G242" s="3" t="s">
        <v>868</v>
      </c>
      <c r="H242" s="38">
        <v>2019</v>
      </c>
      <c r="I242" s="43" t="s">
        <v>2</v>
      </c>
    </row>
    <row r="243" spans="2:9" x14ac:dyDescent="0.25">
      <c r="B243" s="2" t="s">
        <v>249</v>
      </c>
      <c r="C243" s="3">
        <v>3</v>
      </c>
      <c r="D243" s="3" t="s">
        <v>864</v>
      </c>
      <c r="E243" s="21">
        <v>2019</v>
      </c>
      <c r="F243" s="3">
        <v>9</v>
      </c>
      <c r="G243" s="3" t="s">
        <v>864</v>
      </c>
      <c r="H243" s="38">
        <v>1964</v>
      </c>
      <c r="I243" s="43" t="s">
        <v>3</v>
      </c>
    </row>
    <row r="244" spans="2:9" x14ac:dyDescent="0.25">
      <c r="B244" s="2" t="s">
        <v>250</v>
      </c>
      <c r="C244" s="3">
        <v>3</v>
      </c>
      <c r="D244" s="3" t="s">
        <v>864</v>
      </c>
      <c r="E244" s="21">
        <v>2019</v>
      </c>
      <c r="F244" s="3">
        <v>6</v>
      </c>
      <c r="G244" s="3" t="s">
        <v>864</v>
      </c>
      <c r="H244" s="38">
        <v>2019</v>
      </c>
      <c r="I244" s="43" t="s">
        <v>2</v>
      </c>
    </row>
    <row r="245" spans="2:9" x14ac:dyDescent="0.25">
      <c r="B245" s="2" t="s">
        <v>251</v>
      </c>
      <c r="C245" s="3">
        <v>5</v>
      </c>
      <c r="D245" s="3" t="s">
        <v>864</v>
      </c>
      <c r="E245" s="21">
        <v>2019</v>
      </c>
      <c r="F245" s="3">
        <v>19</v>
      </c>
      <c r="G245" s="3" t="s">
        <v>866</v>
      </c>
      <c r="H245" s="38">
        <v>1944</v>
      </c>
      <c r="I245" s="43" t="s">
        <v>3</v>
      </c>
    </row>
    <row r="246" spans="2:9" x14ac:dyDescent="0.25">
      <c r="B246" s="2" t="s">
        <v>252</v>
      </c>
      <c r="C246" s="3">
        <v>5</v>
      </c>
      <c r="D246" s="3" t="s">
        <v>864</v>
      </c>
      <c r="E246" s="21">
        <v>2019</v>
      </c>
      <c r="F246" s="3">
        <v>1</v>
      </c>
      <c r="G246" s="3" t="s">
        <v>899</v>
      </c>
      <c r="H246" s="38">
        <v>2016</v>
      </c>
      <c r="I246" s="43" t="s">
        <v>3</v>
      </c>
    </row>
    <row r="247" spans="2:9" x14ac:dyDescent="0.25">
      <c r="B247" s="2" t="s">
        <v>253</v>
      </c>
      <c r="C247" s="3">
        <v>5</v>
      </c>
      <c r="D247" s="26" t="s">
        <v>864</v>
      </c>
      <c r="E247" s="21">
        <v>2019</v>
      </c>
      <c r="F247" s="3">
        <v>1</v>
      </c>
      <c r="G247" s="3" t="s">
        <v>861</v>
      </c>
      <c r="H247" s="38">
        <v>2015</v>
      </c>
      <c r="I247" s="43" t="s">
        <v>2</v>
      </c>
    </row>
    <row r="248" spans="2:9" x14ac:dyDescent="0.25">
      <c r="B248" s="2" t="s">
        <v>254</v>
      </c>
      <c r="C248" s="3">
        <v>12</v>
      </c>
      <c r="D248" s="3" t="s">
        <v>864</v>
      </c>
      <c r="E248" s="21">
        <v>2019</v>
      </c>
      <c r="F248" s="3">
        <v>18</v>
      </c>
      <c r="G248" s="3" t="s">
        <v>868</v>
      </c>
      <c r="H248" s="38">
        <v>2019</v>
      </c>
      <c r="I248" s="43" t="s">
        <v>2</v>
      </c>
    </row>
    <row r="249" spans="2:9" x14ac:dyDescent="0.25">
      <c r="B249" s="2" t="s">
        <v>255</v>
      </c>
      <c r="C249" s="3">
        <v>16</v>
      </c>
      <c r="D249" s="3" t="s">
        <v>864</v>
      </c>
      <c r="E249" s="21">
        <v>2019</v>
      </c>
      <c r="F249" s="3">
        <v>4</v>
      </c>
      <c r="G249" s="3" t="s">
        <v>864</v>
      </c>
      <c r="H249" s="38">
        <v>2019</v>
      </c>
      <c r="I249" s="43" t="s">
        <v>2</v>
      </c>
    </row>
    <row r="250" spans="2:9" x14ac:dyDescent="0.25">
      <c r="B250" s="2" t="s">
        <v>256</v>
      </c>
      <c r="C250" s="3">
        <v>16</v>
      </c>
      <c r="D250" s="3" t="s">
        <v>864</v>
      </c>
      <c r="E250" s="21">
        <v>2019</v>
      </c>
      <c r="F250" s="3">
        <v>3</v>
      </c>
      <c r="G250" s="3" t="s">
        <v>856</v>
      </c>
      <c r="H250" s="38">
        <v>2018</v>
      </c>
      <c r="I250" s="43" t="s">
        <v>3</v>
      </c>
    </row>
    <row r="251" spans="2:9" x14ac:dyDescent="0.25">
      <c r="B251" s="2" t="s">
        <v>257</v>
      </c>
      <c r="C251" s="3">
        <v>16</v>
      </c>
      <c r="D251" s="3" t="s">
        <v>864</v>
      </c>
      <c r="E251" s="21">
        <v>2019</v>
      </c>
      <c r="F251" s="3">
        <v>26</v>
      </c>
      <c r="G251" s="3" t="s">
        <v>868</v>
      </c>
      <c r="H251" s="38">
        <v>2019</v>
      </c>
      <c r="I251" s="43" t="s">
        <v>3</v>
      </c>
    </row>
    <row r="252" spans="2:9" x14ac:dyDescent="0.25">
      <c r="B252" s="2" t="s">
        <v>258</v>
      </c>
      <c r="C252" s="3">
        <v>16</v>
      </c>
      <c r="D252" s="3" t="s">
        <v>864</v>
      </c>
      <c r="E252" s="21">
        <v>2019</v>
      </c>
      <c r="F252" s="3">
        <v>7</v>
      </c>
      <c r="G252" s="3" t="s">
        <v>866</v>
      </c>
      <c r="H252" s="38">
        <v>2018</v>
      </c>
      <c r="I252" s="43" t="s">
        <v>3</v>
      </c>
    </row>
    <row r="253" spans="2:9" x14ac:dyDescent="0.25">
      <c r="B253" s="2" t="s">
        <v>259</v>
      </c>
      <c r="C253" s="3">
        <v>16</v>
      </c>
      <c r="D253" s="3" t="s">
        <v>864</v>
      </c>
      <c r="E253" s="21">
        <v>2019</v>
      </c>
      <c r="F253" s="3">
        <v>4</v>
      </c>
      <c r="G253" s="3" t="s">
        <v>864</v>
      </c>
      <c r="H253" s="38">
        <v>2018</v>
      </c>
      <c r="I253" s="43" t="s">
        <v>3</v>
      </c>
    </row>
    <row r="254" spans="2:9" x14ac:dyDescent="0.25">
      <c r="B254" s="2" t="s">
        <v>260</v>
      </c>
      <c r="C254" s="3">
        <v>17</v>
      </c>
      <c r="D254" s="3" t="s">
        <v>864</v>
      </c>
      <c r="E254" s="21">
        <v>2019</v>
      </c>
      <c r="F254" s="3">
        <v>30</v>
      </c>
      <c r="G254" s="3" t="s">
        <v>865</v>
      </c>
      <c r="H254" s="38">
        <v>2018</v>
      </c>
      <c r="I254" s="43" t="s">
        <v>3</v>
      </c>
    </row>
    <row r="255" spans="2:9" x14ac:dyDescent="0.25">
      <c r="B255" s="2" t="s">
        <v>261</v>
      </c>
      <c r="C255" s="3">
        <v>17</v>
      </c>
      <c r="D255" s="26" t="s">
        <v>864</v>
      </c>
      <c r="E255" s="21">
        <v>2019</v>
      </c>
      <c r="F255" s="3">
        <v>31</v>
      </c>
      <c r="G255" s="3" t="s">
        <v>866</v>
      </c>
      <c r="H255" s="38">
        <v>2019</v>
      </c>
      <c r="I255" s="43" t="s">
        <v>3</v>
      </c>
    </row>
    <row r="256" spans="2:9" x14ac:dyDescent="0.25">
      <c r="B256" s="2" t="s">
        <v>262</v>
      </c>
      <c r="C256" s="3">
        <v>18</v>
      </c>
      <c r="D256" s="3" t="s">
        <v>864</v>
      </c>
      <c r="E256" s="21">
        <v>2019</v>
      </c>
      <c r="F256" s="3">
        <v>11</v>
      </c>
      <c r="G256" s="3" t="s">
        <v>864</v>
      </c>
      <c r="H256" s="38">
        <v>2019</v>
      </c>
      <c r="I256" s="43" t="s">
        <v>3</v>
      </c>
    </row>
    <row r="257" spans="2:9" x14ac:dyDescent="0.25">
      <c r="B257" s="2" t="s">
        <v>263</v>
      </c>
      <c r="C257" s="3">
        <v>18</v>
      </c>
      <c r="D257" s="3" t="s">
        <v>864</v>
      </c>
      <c r="E257" s="21">
        <v>2019</v>
      </c>
      <c r="F257" s="3">
        <v>31</v>
      </c>
      <c r="G257" s="3" t="s">
        <v>866</v>
      </c>
      <c r="H257" s="38">
        <v>2019</v>
      </c>
      <c r="I257" s="43" t="s">
        <v>3</v>
      </c>
    </row>
    <row r="258" spans="2:9" x14ac:dyDescent="0.25">
      <c r="B258" s="2" t="s">
        <v>264</v>
      </c>
      <c r="C258" s="3">
        <v>18</v>
      </c>
      <c r="D258" s="3" t="s">
        <v>864</v>
      </c>
      <c r="E258" s="21">
        <v>2019</v>
      </c>
      <c r="F258" s="3">
        <v>8</v>
      </c>
      <c r="G258" s="3" t="s">
        <v>868</v>
      </c>
      <c r="H258" s="38">
        <v>2019</v>
      </c>
      <c r="I258" s="43" t="s">
        <v>3</v>
      </c>
    </row>
    <row r="259" spans="2:9" x14ac:dyDescent="0.25">
      <c r="B259" s="2" t="s">
        <v>265</v>
      </c>
      <c r="C259" s="3">
        <v>25</v>
      </c>
      <c r="D259" s="3" t="s">
        <v>864</v>
      </c>
      <c r="E259" s="21">
        <v>2019</v>
      </c>
      <c r="F259" s="3">
        <v>3</v>
      </c>
      <c r="G259" s="3" t="s">
        <v>861</v>
      </c>
      <c r="H259" s="38">
        <v>2017</v>
      </c>
      <c r="I259" s="43" t="s">
        <v>2</v>
      </c>
    </row>
    <row r="260" spans="2:9" x14ac:dyDescent="0.25">
      <c r="B260" s="2" t="s">
        <v>266</v>
      </c>
      <c r="C260" s="3">
        <v>25</v>
      </c>
      <c r="D260" s="3" t="s">
        <v>864</v>
      </c>
      <c r="E260" s="21">
        <v>2019</v>
      </c>
      <c r="F260" s="3">
        <v>24</v>
      </c>
      <c r="G260" s="3" t="s">
        <v>857</v>
      </c>
      <c r="H260" s="38">
        <v>1980</v>
      </c>
      <c r="I260" s="43" t="s">
        <v>2</v>
      </c>
    </row>
    <row r="261" spans="2:9" x14ac:dyDescent="0.25">
      <c r="B261" s="2" t="s">
        <v>267</v>
      </c>
      <c r="C261" s="3">
        <v>25</v>
      </c>
      <c r="D261" s="3" t="s">
        <v>864</v>
      </c>
      <c r="E261" s="21">
        <v>2019</v>
      </c>
      <c r="F261" s="3">
        <v>29</v>
      </c>
      <c r="G261" s="3" t="s">
        <v>865</v>
      </c>
      <c r="H261" s="38">
        <v>2019</v>
      </c>
      <c r="I261" s="43" t="s">
        <v>3</v>
      </c>
    </row>
    <row r="262" spans="2:9" x14ac:dyDescent="0.25">
      <c r="B262" s="2" t="s">
        <v>268</v>
      </c>
      <c r="C262" s="3">
        <v>26</v>
      </c>
      <c r="D262" s="3" t="s">
        <v>864</v>
      </c>
      <c r="E262" s="21">
        <v>2019</v>
      </c>
      <c r="F262" s="3">
        <v>26</v>
      </c>
      <c r="G262" s="3" t="s">
        <v>865</v>
      </c>
      <c r="H262" s="38">
        <v>2019</v>
      </c>
      <c r="I262" s="43" t="s">
        <v>2</v>
      </c>
    </row>
    <row r="263" spans="2:9" x14ac:dyDescent="0.25">
      <c r="B263" s="2" t="s">
        <v>269</v>
      </c>
      <c r="C263" s="3">
        <v>26</v>
      </c>
      <c r="D263" s="26" t="s">
        <v>864</v>
      </c>
      <c r="E263" s="21">
        <v>2019</v>
      </c>
      <c r="F263" s="3">
        <v>14</v>
      </c>
      <c r="G263" s="3" t="s">
        <v>864</v>
      </c>
      <c r="H263" s="38">
        <v>2019</v>
      </c>
      <c r="I263" s="43" t="s">
        <v>2</v>
      </c>
    </row>
    <row r="264" spans="2:9" x14ac:dyDescent="0.25">
      <c r="B264" s="2" t="s">
        <v>270</v>
      </c>
      <c r="C264" s="3">
        <v>29</v>
      </c>
      <c r="D264" s="3" t="s">
        <v>864</v>
      </c>
      <c r="E264" s="21">
        <v>2019</v>
      </c>
      <c r="F264" s="3">
        <v>13</v>
      </c>
      <c r="G264" s="3" t="s">
        <v>864</v>
      </c>
      <c r="H264" s="38">
        <v>2019</v>
      </c>
      <c r="I264" s="43" t="s">
        <v>3</v>
      </c>
    </row>
    <row r="265" spans="2:9" x14ac:dyDescent="0.25">
      <c r="B265" s="2" t="s">
        <v>271</v>
      </c>
      <c r="C265" s="3">
        <v>30</v>
      </c>
      <c r="D265" s="3" t="s">
        <v>864</v>
      </c>
      <c r="E265" s="21">
        <v>2019</v>
      </c>
      <c r="F265" s="3">
        <v>24</v>
      </c>
      <c r="G265" s="3" t="s">
        <v>857</v>
      </c>
      <c r="H265" s="38">
        <v>2018</v>
      </c>
      <c r="I265" s="43" t="s">
        <v>3</v>
      </c>
    </row>
    <row r="266" spans="2:9" x14ac:dyDescent="0.25">
      <c r="B266" s="2" t="s">
        <v>272</v>
      </c>
      <c r="C266" s="3">
        <v>31</v>
      </c>
      <c r="D266" s="3" t="s">
        <v>864</v>
      </c>
      <c r="E266" s="21">
        <v>2019</v>
      </c>
      <c r="F266" s="3">
        <v>6</v>
      </c>
      <c r="G266" s="3" t="s">
        <v>864</v>
      </c>
      <c r="H266" s="38">
        <v>2019</v>
      </c>
      <c r="I266" s="43" t="s">
        <v>2</v>
      </c>
    </row>
    <row r="267" spans="2:9" x14ac:dyDescent="0.25">
      <c r="B267" s="2" t="s">
        <v>273</v>
      </c>
      <c r="C267" s="3">
        <v>31</v>
      </c>
      <c r="D267" s="3" t="s">
        <v>864</v>
      </c>
      <c r="E267" s="21">
        <v>2019</v>
      </c>
      <c r="F267" s="3">
        <v>24</v>
      </c>
      <c r="G267" s="3" t="s">
        <v>866</v>
      </c>
      <c r="H267" s="38">
        <v>2019</v>
      </c>
      <c r="I267" s="43" t="s">
        <v>2</v>
      </c>
    </row>
    <row r="268" spans="2:9" x14ac:dyDescent="0.25">
      <c r="B268" s="2" t="s">
        <v>274</v>
      </c>
      <c r="C268" s="3">
        <v>31</v>
      </c>
      <c r="D268" s="3" t="s">
        <v>864</v>
      </c>
      <c r="E268" s="21">
        <v>2019</v>
      </c>
      <c r="F268" s="3">
        <v>28</v>
      </c>
      <c r="G268" s="3" t="s">
        <v>868</v>
      </c>
      <c r="H268" s="38">
        <v>2019</v>
      </c>
      <c r="I268" s="43" t="s">
        <v>3</v>
      </c>
    </row>
    <row r="269" spans="2:9" x14ac:dyDescent="0.25">
      <c r="B269" s="2" t="s">
        <v>275</v>
      </c>
      <c r="C269" s="3">
        <v>2</v>
      </c>
      <c r="D269" s="3" t="s">
        <v>869</v>
      </c>
      <c r="E269" s="21">
        <v>2019</v>
      </c>
      <c r="F269" s="3">
        <v>16</v>
      </c>
      <c r="G269" s="3" t="s">
        <v>868</v>
      </c>
      <c r="H269" s="38">
        <v>2019</v>
      </c>
      <c r="I269" s="43" t="s">
        <v>2</v>
      </c>
    </row>
    <row r="270" spans="2:9" x14ac:dyDescent="0.25">
      <c r="B270" s="2" t="s">
        <v>276</v>
      </c>
      <c r="C270" s="3">
        <v>6</v>
      </c>
      <c r="D270" s="3" t="s">
        <v>869</v>
      </c>
      <c r="E270" s="21">
        <v>2019</v>
      </c>
      <c r="F270" s="3">
        <v>10</v>
      </c>
      <c r="G270" s="3" t="s">
        <v>870</v>
      </c>
      <c r="H270" s="38">
        <v>2016</v>
      </c>
      <c r="I270" s="43" t="s">
        <v>2</v>
      </c>
    </row>
    <row r="271" spans="2:9" x14ac:dyDescent="0.25">
      <c r="B271" s="2" t="s">
        <v>277</v>
      </c>
      <c r="C271" s="3">
        <v>6</v>
      </c>
      <c r="D271" s="3" t="s">
        <v>869</v>
      </c>
      <c r="E271" s="21">
        <v>2019</v>
      </c>
      <c r="F271" s="3">
        <v>4</v>
      </c>
      <c r="G271" s="3" t="s">
        <v>864</v>
      </c>
      <c r="H271" s="38">
        <v>2019</v>
      </c>
      <c r="I271" s="43" t="s">
        <v>2</v>
      </c>
    </row>
    <row r="272" spans="2:9" x14ac:dyDescent="0.25">
      <c r="B272" s="2" t="s">
        <v>278</v>
      </c>
      <c r="C272" s="3">
        <v>7</v>
      </c>
      <c r="D272" s="3" t="s">
        <v>869</v>
      </c>
      <c r="E272" s="21">
        <v>2019</v>
      </c>
      <c r="F272" s="3">
        <v>19</v>
      </c>
      <c r="G272" s="3" t="s">
        <v>864</v>
      </c>
      <c r="H272" s="38">
        <v>2019</v>
      </c>
      <c r="I272" s="43" t="s">
        <v>3</v>
      </c>
    </row>
    <row r="273" spans="2:9" x14ac:dyDescent="0.25">
      <c r="B273" s="2" t="s">
        <v>279</v>
      </c>
      <c r="C273" s="3">
        <v>14</v>
      </c>
      <c r="D273" s="3" t="s">
        <v>869</v>
      </c>
      <c r="E273" s="21">
        <v>2019</v>
      </c>
      <c r="F273" s="3">
        <v>15</v>
      </c>
      <c r="G273" s="3" t="s">
        <v>866</v>
      </c>
      <c r="H273" s="38">
        <v>2015</v>
      </c>
      <c r="I273" s="43" t="s">
        <v>2</v>
      </c>
    </row>
    <row r="274" spans="2:9" x14ac:dyDescent="0.25">
      <c r="B274" s="2" t="s">
        <v>280</v>
      </c>
      <c r="C274" s="3">
        <v>19</v>
      </c>
      <c r="D274" s="3" t="s">
        <v>869</v>
      </c>
      <c r="E274" s="21">
        <v>2019</v>
      </c>
      <c r="F274" s="3">
        <v>24</v>
      </c>
      <c r="G274" s="3" t="s">
        <v>856</v>
      </c>
      <c r="H274" s="38">
        <v>2019</v>
      </c>
      <c r="I274" s="43" t="s">
        <v>2</v>
      </c>
    </row>
    <row r="275" spans="2:9" x14ac:dyDescent="0.25">
      <c r="B275" s="2" t="s">
        <v>281</v>
      </c>
      <c r="C275" s="3">
        <v>19</v>
      </c>
      <c r="D275" s="3" t="s">
        <v>869</v>
      </c>
      <c r="E275" s="21">
        <v>2019</v>
      </c>
      <c r="F275" s="3">
        <v>21</v>
      </c>
      <c r="G275" s="3" t="s">
        <v>899</v>
      </c>
      <c r="H275" s="38">
        <v>2018</v>
      </c>
      <c r="I275" s="43" t="s">
        <v>3</v>
      </c>
    </row>
    <row r="276" spans="2:9" x14ac:dyDescent="0.25">
      <c r="B276" s="2" t="s">
        <v>282</v>
      </c>
      <c r="C276" s="3">
        <v>19</v>
      </c>
      <c r="D276" s="3" t="s">
        <v>869</v>
      </c>
      <c r="E276" s="21">
        <v>2019</v>
      </c>
      <c r="F276" s="3">
        <v>2</v>
      </c>
      <c r="G276" s="3" t="s">
        <v>869</v>
      </c>
      <c r="H276" s="38">
        <v>2019</v>
      </c>
      <c r="I276" s="43" t="s">
        <v>2</v>
      </c>
    </row>
    <row r="277" spans="2:9" x14ac:dyDescent="0.25">
      <c r="B277" s="2" t="s">
        <v>283</v>
      </c>
      <c r="C277" s="3">
        <v>20</v>
      </c>
      <c r="D277" s="3" t="s">
        <v>869</v>
      </c>
      <c r="E277" s="21">
        <v>2019</v>
      </c>
      <c r="F277" s="3">
        <v>24</v>
      </c>
      <c r="G277" s="3" t="s">
        <v>869</v>
      </c>
      <c r="H277" s="38">
        <v>2018</v>
      </c>
      <c r="I277" s="43" t="s">
        <v>2</v>
      </c>
    </row>
    <row r="278" spans="2:9" x14ac:dyDescent="0.25">
      <c r="B278" s="2" t="s">
        <v>284</v>
      </c>
      <c r="C278" s="3">
        <v>20</v>
      </c>
      <c r="D278" s="3" t="s">
        <v>869</v>
      </c>
      <c r="E278" s="21">
        <v>2019</v>
      </c>
      <c r="F278" s="3">
        <v>2</v>
      </c>
      <c r="G278" s="3" t="s">
        <v>864</v>
      </c>
      <c r="H278" s="38">
        <v>2019</v>
      </c>
      <c r="I278" s="43" t="s">
        <v>3</v>
      </c>
    </row>
    <row r="279" spans="2:9" x14ac:dyDescent="0.25">
      <c r="B279" s="2" t="s">
        <v>285</v>
      </c>
      <c r="C279" s="3">
        <v>20</v>
      </c>
      <c r="D279" s="3" t="s">
        <v>869</v>
      </c>
      <c r="E279" s="21">
        <v>2019</v>
      </c>
      <c r="F279" s="3">
        <v>12</v>
      </c>
      <c r="G279" s="3" t="s">
        <v>865</v>
      </c>
      <c r="H279" s="38">
        <v>2018</v>
      </c>
      <c r="I279" s="43" t="s">
        <v>3</v>
      </c>
    </row>
    <row r="280" spans="2:9" x14ac:dyDescent="0.25">
      <c r="B280" s="2" t="s">
        <v>286</v>
      </c>
      <c r="C280" s="3">
        <v>21</v>
      </c>
      <c r="D280" s="3" t="s">
        <v>869</v>
      </c>
      <c r="E280" s="21">
        <v>2019</v>
      </c>
      <c r="F280" s="3">
        <v>21</v>
      </c>
      <c r="G280" s="3" t="s">
        <v>868</v>
      </c>
      <c r="H280" s="38">
        <v>2017</v>
      </c>
      <c r="I280" s="43" t="s">
        <v>3</v>
      </c>
    </row>
    <row r="281" spans="2:9" x14ac:dyDescent="0.25">
      <c r="B281" s="2" t="s">
        <v>287</v>
      </c>
      <c r="C281" s="3">
        <v>21</v>
      </c>
      <c r="D281" s="3" t="s">
        <v>869</v>
      </c>
      <c r="E281" s="21">
        <v>2019</v>
      </c>
      <c r="F281" s="3">
        <v>15</v>
      </c>
      <c r="G281" s="3" t="s">
        <v>867</v>
      </c>
      <c r="H281" s="38">
        <v>2019</v>
      </c>
      <c r="I281" s="43" t="s">
        <v>3</v>
      </c>
    </row>
    <row r="282" spans="2:9" x14ac:dyDescent="0.25">
      <c r="B282" s="2" t="s">
        <v>288</v>
      </c>
      <c r="C282" s="3">
        <v>27</v>
      </c>
      <c r="D282" s="3" t="s">
        <v>869</v>
      </c>
      <c r="E282" s="21">
        <v>2019</v>
      </c>
      <c r="F282" s="3">
        <v>13</v>
      </c>
      <c r="G282" s="3" t="s">
        <v>870</v>
      </c>
      <c r="H282" s="38">
        <v>2015</v>
      </c>
      <c r="I282" s="43" t="s">
        <v>3</v>
      </c>
    </row>
    <row r="283" spans="2:9" x14ac:dyDescent="0.25">
      <c r="B283" s="2" t="s">
        <v>289</v>
      </c>
      <c r="C283" s="3">
        <v>27</v>
      </c>
      <c r="D283" s="3" t="s">
        <v>869</v>
      </c>
      <c r="E283" s="21">
        <v>2019</v>
      </c>
      <c r="F283" s="3">
        <v>19</v>
      </c>
      <c r="G283" s="3" t="s">
        <v>864</v>
      </c>
      <c r="H283" s="38">
        <v>2018</v>
      </c>
      <c r="I283" s="43" t="s">
        <v>3</v>
      </c>
    </row>
    <row r="284" spans="2:9" x14ac:dyDescent="0.25">
      <c r="B284" s="2" t="s">
        <v>290</v>
      </c>
      <c r="C284" s="3">
        <v>28</v>
      </c>
      <c r="D284" s="3" t="s">
        <v>869</v>
      </c>
      <c r="E284" s="21">
        <v>2019</v>
      </c>
      <c r="F284" s="3">
        <v>17</v>
      </c>
      <c r="G284" s="3" t="s">
        <v>869</v>
      </c>
      <c r="H284" s="38">
        <v>2019</v>
      </c>
      <c r="I284" s="43" t="s">
        <v>2</v>
      </c>
    </row>
    <row r="285" spans="2:9" x14ac:dyDescent="0.25">
      <c r="B285" s="2" t="s">
        <v>291</v>
      </c>
      <c r="C285" s="3">
        <v>28</v>
      </c>
      <c r="D285" s="3" t="s">
        <v>869</v>
      </c>
      <c r="E285" s="21">
        <v>2019</v>
      </c>
      <c r="F285" s="3">
        <v>16</v>
      </c>
      <c r="G285" s="3" t="s">
        <v>869</v>
      </c>
      <c r="H285" s="38">
        <v>2019</v>
      </c>
      <c r="I285" s="43" t="s">
        <v>3</v>
      </c>
    </row>
    <row r="286" spans="2:9" x14ac:dyDescent="0.25">
      <c r="B286" s="2" t="s">
        <v>292</v>
      </c>
      <c r="C286" s="3">
        <v>28</v>
      </c>
      <c r="D286" s="3" t="s">
        <v>869</v>
      </c>
      <c r="E286" s="21">
        <v>2019</v>
      </c>
      <c r="F286" s="3">
        <v>22</v>
      </c>
      <c r="G286" s="3" t="s">
        <v>861</v>
      </c>
      <c r="H286" s="38">
        <v>2014</v>
      </c>
      <c r="I286" s="43" t="s">
        <v>2</v>
      </c>
    </row>
    <row r="287" spans="2:9" x14ac:dyDescent="0.25">
      <c r="B287" s="2" t="s">
        <v>293</v>
      </c>
      <c r="C287" s="3">
        <v>28</v>
      </c>
      <c r="D287" s="3" t="s">
        <v>869</v>
      </c>
      <c r="E287" s="21">
        <v>2019</v>
      </c>
      <c r="F287" s="3">
        <v>19</v>
      </c>
      <c r="G287" s="3" t="s">
        <v>869</v>
      </c>
      <c r="H287" s="38">
        <v>2019</v>
      </c>
      <c r="I287" s="43" t="s">
        <v>2</v>
      </c>
    </row>
    <row r="288" spans="2:9" x14ac:dyDescent="0.25">
      <c r="B288" s="2" t="s">
        <v>294</v>
      </c>
      <c r="C288" s="3">
        <v>30</v>
      </c>
      <c r="D288" s="3" t="s">
        <v>869</v>
      </c>
      <c r="E288" s="21">
        <v>2019</v>
      </c>
      <c r="F288" s="3">
        <v>14</v>
      </c>
      <c r="G288" s="3" t="s">
        <v>868</v>
      </c>
      <c r="H288" s="38">
        <v>2019</v>
      </c>
      <c r="I288" s="43" t="s">
        <v>2</v>
      </c>
    </row>
    <row r="289" spans="2:9" x14ac:dyDescent="0.25">
      <c r="B289" s="2" t="s">
        <v>295</v>
      </c>
      <c r="C289" s="3">
        <v>30</v>
      </c>
      <c r="D289" s="3" t="s">
        <v>869</v>
      </c>
      <c r="E289" s="21">
        <v>2019</v>
      </c>
      <c r="F289" s="3">
        <v>5</v>
      </c>
      <c r="G289" s="3" t="s">
        <v>864</v>
      </c>
      <c r="H289" s="38">
        <v>2019</v>
      </c>
      <c r="I289" s="43" t="s">
        <v>3</v>
      </c>
    </row>
    <row r="290" spans="2:9" x14ac:dyDescent="0.25">
      <c r="B290" s="2" t="s">
        <v>296</v>
      </c>
      <c r="C290" s="3">
        <v>2</v>
      </c>
      <c r="D290" s="3" t="s">
        <v>863</v>
      </c>
      <c r="E290" s="21">
        <v>2019</v>
      </c>
      <c r="F290" s="3">
        <v>7</v>
      </c>
      <c r="G290" s="3" t="s">
        <v>857</v>
      </c>
      <c r="H290" s="38">
        <v>2018</v>
      </c>
      <c r="I290" s="43" t="s">
        <v>3</v>
      </c>
    </row>
    <row r="291" spans="2:9" x14ac:dyDescent="0.25">
      <c r="B291" s="2" t="s">
        <v>297</v>
      </c>
      <c r="C291" s="3">
        <v>2</v>
      </c>
      <c r="D291" s="3" t="s">
        <v>863</v>
      </c>
      <c r="E291" s="21">
        <v>2019</v>
      </c>
      <c r="F291" s="3">
        <v>17</v>
      </c>
      <c r="G291" s="3" t="s">
        <v>864</v>
      </c>
      <c r="H291" s="38">
        <v>2019</v>
      </c>
      <c r="I291" s="43" t="s">
        <v>3</v>
      </c>
    </row>
    <row r="292" spans="2:9" x14ac:dyDescent="0.25">
      <c r="B292" s="2" t="s">
        <v>298</v>
      </c>
      <c r="C292" s="3">
        <v>2</v>
      </c>
      <c r="D292" s="3" t="s">
        <v>863</v>
      </c>
      <c r="E292" s="21">
        <v>2019</v>
      </c>
      <c r="F292" s="3">
        <v>13</v>
      </c>
      <c r="G292" s="3" t="s">
        <v>865</v>
      </c>
      <c r="H292" s="38">
        <v>2015</v>
      </c>
      <c r="I292" s="43" t="s">
        <v>3</v>
      </c>
    </row>
    <row r="293" spans="2:9" x14ac:dyDescent="0.25">
      <c r="B293" s="2" t="s">
        <v>299</v>
      </c>
      <c r="C293" s="3">
        <v>2</v>
      </c>
      <c r="D293" s="3" t="s">
        <v>863</v>
      </c>
      <c r="E293" s="21">
        <v>2019</v>
      </c>
      <c r="F293" s="3">
        <v>29</v>
      </c>
      <c r="G293" s="3" t="s">
        <v>869</v>
      </c>
      <c r="H293" s="38">
        <v>2019</v>
      </c>
      <c r="I293" s="43" t="s">
        <v>3</v>
      </c>
    </row>
    <row r="294" spans="2:9" x14ac:dyDescent="0.25">
      <c r="B294" s="2" t="s">
        <v>300</v>
      </c>
      <c r="C294" s="3">
        <v>3</v>
      </c>
      <c r="D294" s="3" t="s">
        <v>863</v>
      </c>
      <c r="E294" s="21">
        <v>2019</v>
      </c>
      <c r="F294" s="3">
        <v>23</v>
      </c>
      <c r="G294" s="3" t="s">
        <v>869</v>
      </c>
      <c r="H294" s="38">
        <v>2019</v>
      </c>
      <c r="I294" s="43" t="s">
        <v>3</v>
      </c>
    </row>
    <row r="295" spans="2:9" x14ac:dyDescent="0.25">
      <c r="B295" s="2" t="s">
        <v>301</v>
      </c>
      <c r="C295" s="3">
        <v>3</v>
      </c>
      <c r="D295" s="3" t="s">
        <v>863</v>
      </c>
      <c r="E295" s="21">
        <v>2019</v>
      </c>
      <c r="F295" s="3">
        <v>23</v>
      </c>
      <c r="G295" s="3" t="s">
        <v>869</v>
      </c>
      <c r="H295" s="38">
        <v>2008</v>
      </c>
      <c r="I295" s="43" t="s">
        <v>2</v>
      </c>
    </row>
    <row r="296" spans="2:9" x14ac:dyDescent="0.25">
      <c r="B296" s="2" t="s">
        <v>302</v>
      </c>
      <c r="C296" s="3">
        <v>3</v>
      </c>
      <c r="D296" s="3" t="s">
        <v>863</v>
      </c>
      <c r="E296" s="21">
        <v>2019</v>
      </c>
      <c r="F296" s="3">
        <v>30</v>
      </c>
      <c r="G296" s="3" t="s">
        <v>866</v>
      </c>
      <c r="H296" s="38">
        <v>2019</v>
      </c>
      <c r="I296" s="43" t="s">
        <v>2</v>
      </c>
    </row>
    <row r="297" spans="2:9" x14ac:dyDescent="0.25">
      <c r="B297" s="2" t="s">
        <v>303</v>
      </c>
      <c r="C297" s="3">
        <v>4</v>
      </c>
      <c r="D297" s="3" t="s">
        <v>863</v>
      </c>
      <c r="E297" s="21">
        <v>2019</v>
      </c>
      <c r="F297" s="3">
        <v>2</v>
      </c>
      <c r="G297" s="3" t="s">
        <v>866</v>
      </c>
      <c r="H297" s="38">
        <v>2019</v>
      </c>
      <c r="I297" s="43" t="s">
        <v>3</v>
      </c>
    </row>
    <row r="298" spans="2:9" x14ac:dyDescent="0.25">
      <c r="B298" s="2" t="s">
        <v>304</v>
      </c>
      <c r="C298" s="3">
        <v>4</v>
      </c>
      <c r="D298" s="3" t="s">
        <v>863</v>
      </c>
      <c r="E298" s="21">
        <v>2019</v>
      </c>
      <c r="F298" s="3">
        <v>7</v>
      </c>
      <c r="G298" s="3" t="s">
        <v>869</v>
      </c>
      <c r="H298" s="38">
        <v>2019</v>
      </c>
      <c r="I298" s="43" t="s">
        <v>2</v>
      </c>
    </row>
    <row r="299" spans="2:9" x14ac:dyDescent="0.25">
      <c r="B299" s="2" t="s">
        <v>305</v>
      </c>
      <c r="C299" s="3">
        <v>4</v>
      </c>
      <c r="D299" s="3" t="s">
        <v>863</v>
      </c>
      <c r="E299" s="21">
        <v>2019</v>
      </c>
      <c r="F299" s="3">
        <v>15</v>
      </c>
      <c r="G299" s="3" t="s">
        <v>858</v>
      </c>
      <c r="H299" s="38">
        <v>1999</v>
      </c>
      <c r="I299" s="43" t="s">
        <v>2</v>
      </c>
    </row>
    <row r="300" spans="2:9" x14ac:dyDescent="0.25">
      <c r="B300" s="2" t="s">
        <v>306</v>
      </c>
      <c r="C300" s="3">
        <v>4</v>
      </c>
      <c r="D300" s="3" t="s">
        <v>863</v>
      </c>
      <c r="E300" s="21">
        <v>2019</v>
      </c>
      <c r="F300" s="3">
        <v>20</v>
      </c>
      <c r="G300" s="3" t="s">
        <v>856</v>
      </c>
      <c r="H300" s="38">
        <v>2019</v>
      </c>
      <c r="I300" s="43" t="s">
        <v>2</v>
      </c>
    </row>
    <row r="301" spans="2:9" x14ac:dyDescent="0.25">
      <c r="B301" s="2" t="s">
        <v>307</v>
      </c>
      <c r="C301" s="3">
        <v>4</v>
      </c>
      <c r="D301" s="3" t="s">
        <v>863</v>
      </c>
      <c r="E301" s="21">
        <v>2019</v>
      </c>
      <c r="F301" s="3">
        <v>4</v>
      </c>
      <c r="G301" s="3" t="s">
        <v>856</v>
      </c>
      <c r="H301" s="38">
        <v>2016</v>
      </c>
      <c r="I301" s="43" t="s">
        <v>3</v>
      </c>
    </row>
    <row r="302" spans="2:9" x14ac:dyDescent="0.25">
      <c r="B302" s="2" t="s">
        <v>308</v>
      </c>
      <c r="C302" s="3">
        <v>4</v>
      </c>
      <c r="D302" s="3" t="s">
        <v>863</v>
      </c>
      <c r="E302" s="21">
        <v>2019</v>
      </c>
      <c r="F302" s="3">
        <v>21</v>
      </c>
      <c r="G302" s="3" t="s">
        <v>866</v>
      </c>
      <c r="H302" s="38">
        <v>2019</v>
      </c>
      <c r="I302" s="43" t="s">
        <v>2</v>
      </c>
    </row>
    <row r="303" spans="2:9" x14ac:dyDescent="0.25">
      <c r="B303" s="2" t="s">
        <v>309</v>
      </c>
      <c r="C303" s="3">
        <v>5</v>
      </c>
      <c r="D303" s="3" t="s">
        <v>863</v>
      </c>
      <c r="E303" s="21">
        <v>2019</v>
      </c>
      <c r="F303" s="3">
        <v>18</v>
      </c>
      <c r="G303" s="3" t="s">
        <v>866</v>
      </c>
      <c r="H303" s="38">
        <v>2019</v>
      </c>
      <c r="I303" s="43" t="s">
        <v>2</v>
      </c>
    </row>
    <row r="304" spans="2:9" x14ac:dyDescent="0.25">
      <c r="B304" s="2" t="s">
        <v>310</v>
      </c>
      <c r="C304" s="3">
        <v>5</v>
      </c>
      <c r="D304" s="3" t="s">
        <v>863</v>
      </c>
      <c r="E304" s="21">
        <v>2019</v>
      </c>
      <c r="F304" s="3">
        <v>19</v>
      </c>
      <c r="G304" s="3" t="s">
        <v>865</v>
      </c>
      <c r="H304" s="38">
        <v>2019</v>
      </c>
      <c r="I304" s="43" t="s">
        <v>3</v>
      </c>
    </row>
    <row r="305" spans="2:9" x14ac:dyDescent="0.25">
      <c r="B305" s="2" t="s">
        <v>311</v>
      </c>
      <c r="C305" s="3">
        <v>6</v>
      </c>
      <c r="D305" s="3" t="s">
        <v>863</v>
      </c>
      <c r="E305" s="21">
        <v>2019</v>
      </c>
      <c r="F305" s="3">
        <v>10</v>
      </c>
      <c r="G305" s="3" t="s">
        <v>864</v>
      </c>
      <c r="H305" s="38">
        <v>2003</v>
      </c>
      <c r="I305" s="43" t="s">
        <v>3</v>
      </c>
    </row>
    <row r="306" spans="2:9" x14ac:dyDescent="0.25">
      <c r="B306" s="2" t="s">
        <v>312</v>
      </c>
      <c r="C306" s="3">
        <v>6</v>
      </c>
      <c r="D306" s="3" t="s">
        <v>863</v>
      </c>
      <c r="E306" s="21">
        <v>2019</v>
      </c>
      <c r="F306" s="3">
        <v>5</v>
      </c>
      <c r="G306" s="3" t="s">
        <v>869</v>
      </c>
      <c r="H306" s="38">
        <v>2013</v>
      </c>
      <c r="I306" s="43" t="s">
        <v>3</v>
      </c>
    </row>
    <row r="307" spans="2:9" x14ac:dyDescent="0.25">
      <c r="B307" s="2" t="s">
        <v>313</v>
      </c>
      <c r="C307" s="3">
        <v>6</v>
      </c>
      <c r="D307" s="3" t="s">
        <v>863</v>
      </c>
      <c r="E307" s="21">
        <v>2019</v>
      </c>
      <c r="F307" s="3">
        <v>28</v>
      </c>
      <c r="G307" s="3" t="s">
        <v>869</v>
      </c>
      <c r="H307" s="38">
        <v>2012</v>
      </c>
      <c r="I307" s="43" t="s">
        <v>3</v>
      </c>
    </row>
    <row r="308" spans="2:9" x14ac:dyDescent="0.25">
      <c r="B308" s="2" t="s">
        <v>314</v>
      </c>
      <c r="C308" s="3">
        <v>17</v>
      </c>
      <c r="D308" s="3" t="s">
        <v>863</v>
      </c>
      <c r="E308" s="21">
        <v>2019</v>
      </c>
      <c r="F308" s="3">
        <v>12</v>
      </c>
      <c r="G308" s="3" t="s">
        <v>899</v>
      </c>
      <c r="H308" s="38">
        <v>2019</v>
      </c>
      <c r="I308" s="43" t="s">
        <v>2</v>
      </c>
    </row>
    <row r="309" spans="2:9" x14ac:dyDescent="0.25">
      <c r="B309" s="2" t="s">
        <v>315</v>
      </c>
      <c r="C309" s="3">
        <v>17</v>
      </c>
      <c r="D309" s="3" t="s">
        <v>863</v>
      </c>
      <c r="E309" s="21">
        <v>2019</v>
      </c>
      <c r="F309" s="3">
        <v>14</v>
      </c>
      <c r="G309" s="3" t="s">
        <v>899</v>
      </c>
      <c r="H309" s="38">
        <v>2019</v>
      </c>
      <c r="I309" s="43" t="s">
        <v>3</v>
      </c>
    </row>
    <row r="310" spans="2:9" x14ac:dyDescent="0.25">
      <c r="B310" s="2" t="s">
        <v>316</v>
      </c>
      <c r="C310" s="3">
        <v>17</v>
      </c>
      <c r="D310" s="3" t="s">
        <v>863</v>
      </c>
      <c r="E310" s="21">
        <v>2019</v>
      </c>
      <c r="F310" s="3">
        <v>11</v>
      </c>
      <c r="G310" s="3" t="s">
        <v>899</v>
      </c>
      <c r="H310" s="38">
        <v>2019</v>
      </c>
      <c r="I310" s="43" t="s">
        <v>3</v>
      </c>
    </row>
    <row r="311" spans="2:9" x14ac:dyDescent="0.25">
      <c r="B311" s="2" t="s">
        <v>317</v>
      </c>
      <c r="C311" s="3">
        <v>17</v>
      </c>
      <c r="D311" s="3" t="s">
        <v>863</v>
      </c>
      <c r="E311" s="21">
        <v>2019</v>
      </c>
      <c r="F311" s="3">
        <v>24</v>
      </c>
      <c r="G311" s="3" t="s">
        <v>856</v>
      </c>
      <c r="H311" s="38">
        <v>2019</v>
      </c>
      <c r="I311" s="43" t="s">
        <v>2</v>
      </c>
    </row>
    <row r="312" spans="2:9" x14ac:dyDescent="0.25">
      <c r="B312" s="2" t="s">
        <v>318</v>
      </c>
      <c r="C312" s="3">
        <v>19</v>
      </c>
      <c r="D312" s="3" t="s">
        <v>863</v>
      </c>
      <c r="E312" s="21">
        <v>2019</v>
      </c>
      <c r="F312" s="3">
        <v>5</v>
      </c>
      <c r="G312" s="3" t="s">
        <v>861</v>
      </c>
      <c r="H312" s="38">
        <v>2014</v>
      </c>
      <c r="I312" s="43" t="s">
        <v>2</v>
      </c>
    </row>
    <row r="313" spans="2:9" x14ac:dyDescent="0.25">
      <c r="B313" s="2" t="s">
        <v>319</v>
      </c>
      <c r="C313" s="3">
        <v>19</v>
      </c>
      <c r="D313" s="3" t="s">
        <v>863</v>
      </c>
      <c r="E313" s="21">
        <v>2019</v>
      </c>
      <c r="F313" s="3">
        <v>29</v>
      </c>
      <c r="G313" s="3" t="s">
        <v>858</v>
      </c>
      <c r="H313" s="38">
        <v>2015</v>
      </c>
      <c r="I313" s="43" t="s">
        <v>2</v>
      </c>
    </row>
    <row r="314" spans="2:9" x14ac:dyDescent="0.25">
      <c r="B314" s="2" t="s">
        <v>320</v>
      </c>
      <c r="C314" s="3">
        <v>19</v>
      </c>
      <c r="D314" s="3" t="s">
        <v>863</v>
      </c>
      <c r="E314" s="21">
        <v>2019</v>
      </c>
      <c r="F314" s="3">
        <v>8</v>
      </c>
      <c r="G314" s="3" t="s">
        <v>899</v>
      </c>
      <c r="H314" s="38">
        <v>2019</v>
      </c>
      <c r="I314" s="43" t="s">
        <v>2</v>
      </c>
    </row>
    <row r="315" spans="2:9" x14ac:dyDescent="0.25">
      <c r="B315" s="2" t="s">
        <v>321</v>
      </c>
      <c r="C315" s="3">
        <v>20</v>
      </c>
      <c r="D315" s="3" t="s">
        <v>863</v>
      </c>
      <c r="E315" s="21">
        <v>2019</v>
      </c>
      <c r="F315" s="3">
        <v>5</v>
      </c>
      <c r="G315" s="3" t="s">
        <v>899</v>
      </c>
      <c r="H315" s="38">
        <v>2019</v>
      </c>
      <c r="I315" s="43" t="s">
        <v>2</v>
      </c>
    </row>
    <row r="316" spans="2:9" x14ac:dyDescent="0.25">
      <c r="B316" s="2" t="s">
        <v>322</v>
      </c>
      <c r="C316" s="3">
        <v>23</v>
      </c>
      <c r="D316" s="3" t="s">
        <v>863</v>
      </c>
      <c r="E316" s="21">
        <v>2019</v>
      </c>
      <c r="F316" s="3">
        <v>25</v>
      </c>
      <c r="G316" s="3" t="s">
        <v>864</v>
      </c>
      <c r="H316" s="38">
        <v>2019</v>
      </c>
      <c r="I316" s="43" t="s">
        <v>3</v>
      </c>
    </row>
    <row r="317" spans="2:9" x14ac:dyDescent="0.25">
      <c r="B317" s="2" t="s">
        <v>323</v>
      </c>
      <c r="C317" s="3">
        <v>23</v>
      </c>
      <c r="D317" s="3" t="s">
        <v>863</v>
      </c>
      <c r="E317" s="21">
        <v>2019</v>
      </c>
      <c r="F317" s="3">
        <v>23</v>
      </c>
      <c r="G317" s="3" t="s">
        <v>869</v>
      </c>
      <c r="H317" s="38">
        <v>2019</v>
      </c>
      <c r="I317" s="43" t="s">
        <v>2</v>
      </c>
    </row>
    <row r="318" spans="2:9" x14ac:dyDescent="0.25">
      <c r="B318" s="2" t="s">
        <v>324</v>
      </c>
      <c r="C318" s="3">
        <v>24</v>
      </c>
      <c r="D318" s="3" t="s">
        <v>863</v>
      </c>
      <c r="E318" s="21">
        <v>2019</v>
      </c>
      <c r="F318" s="3">
        <v>18</v>
      </c>
      <c r="G318" s="3" t="s">
        <v>858</v>
      </c>
      <c r="H318" s="38">
        <v>1975</v>
      </c>
      <c r="I318" s="43" t="s">
        <v>2</v>
      </c>
    </row>
    <row r="319" spans="2:9" x14ac:dyDescent="0.25">
      <c r="B319" s="2" t="s">
        <v>325</v>
      </c>
      <c r="C319" s="3">
        <v>24</v>
      </c>
      <c r="D319" s="3" t="s">
        <v>863</v>
      </c>
      <c r="E319" s="21">
        <v>2019</v>
      </c>
      <c r="F319" s="3">
        <v>25</v>
      </c>
      <c r="G319" s="3" t="s">
        <v>869</v>
      </c>
      <c r="H319" s="38">
        <v>2019</v>
      </c>
      <c r="I319" s="43" t="s">
        <v>2</v>
      </c>
    </row>
    <row r="320" spans="2:9" x14ac:dyDescent="0.25">
      <c r="B320" s="2" t="s">
        <v>326</v>
      </c>
      <c r="C320" s="3">
        <v>24</v>
      </c>
      <c r="D320" s="3" t="s">
        <v>863</v>
      </c>
      <c r="E320" s="21">
        <v>2019</v>
      </c>
      <c r="F320" s="3">
        <v>19</v>
      </c>
      <c r="G320" s="3" t="s">
        <v>899</v>
      </c>
      <c r="H320" s="38">
        <v>2019</v>
      </c>
      <c r="I320" s="43" t="s">
        <v>3</v>
      </c>
    </row>
    <row r="321" spans="2:9" x14ac:dyDescent="0.25">
      <c r="B321" s="2" t="s">
        <v>327</v>
      </c>
      <c r="C321" s="3">
        <v>24</v>
      </c>
      <c r="D321" s="3" t="s">
        <v>863</v>
      </c>
      <c r="E321" s="21">
        <v>2019</v>
      </c>
      <c r="F321" s="3">
        <v>25</v>
      </c>
      <c r="G321" s="3" t="s">
        <v>867</v>
      </c>
      <c r="H321" s="38">
        <v>2014</v>
      </c>
      <c r="I321" s="43" t="s">
        <v>3</v>
      </c>
    </row>
    <row r="322" spans="2:9" x14ac:dyDescent="0.25">
      <c r="B322" s="2" t="s">
        <v>328</v>
      </c>
      <c r="C322" s="3">
        <v>27</v>
      </c>
      <c r="D322" s="3" t="s">
        <v>863</v>
      </c>
      <c r="E322" s="21">
        <v>2019</v>
      </c>
      <c r="F322" s="3">
        <v>23</v>
      </c>
      <c r="G322" s="3" t="s">
        <v>899</v>
      </c>
      <c r="H322" s="38">
        <v>2019</v>
      </c>
      <c r="I322" s="43" t="s">
        <v>3</v>
      </c>
    </row>
    <row r="323" spans="2:9" x14ac:dyDescent="0.25">
      <c r="B323" s="2" t="s">
        <v>329</v>
      </c>
      <c r="C323" s="3">
        <v>27</v>
      </c>
      <c r="D323" s="3" t="s">
        <v>863</v>
      </c>
      <c r="E323" s="21">
        <v>2019</v>
      </c>
      <c r="F323" s="3">
        <v>28</v>
      </c>
      <c r="G323" s="3" t="s">
        <v>868</v>
      </c>
      <c r="H323" s="38">
        <v>2019</v>
      </c>
      <c r="I323" s="43" t="s">
        <v>2</v>
      </c>
    </row>
    <row r="324" spans="2:9" x14ac:dyDescent="0.25">
      <c r="B324" s="2" t="s">
        <v>330</v>
      </c>
      <c r="C324" s="3">
        <v>27</v>
      </c>
      <c r="D324" s="3" t="s">
        <v>863</v>
      </c>
      <c r="E324" s="21">
        <v>2019</v>
      </c>
      <c r="F324" s="3">
        <v>19</v>
      </c>
      <c r="G324" s="3" t="s">
        <v>869</v>
      </c>
      <c r="H324" s="38">
        <v>2018</v>
      </c>
      <c r="I324" s="43" t="s">
        <v>3</v>
      </c>
    </row>
    <row r="325" spans="2:9" x14ac:dyDescent="0.25">
      <c r="B325" s="2" t="s">
        <v>331</v>
      </c>
      <c r="C325" s="3">
        <v>27</v>
      </c>
      <c r="D325" s="3" t="s">
        <v>863</v>
      </c>
      <c r="E325" s="21">
        <v>2019</v>
      </c>
      <c r="F325" s="3">
        <v>27</v>
      </c>
      <c r="G325" s="3" t="s">
        <v>869</v>
      </c>
      <c r="H325" s="38">
        <v>2019</v>
      </c>
      <c r="I325" s="43" t="s">
        <v>2</v>
      </c>
    </row>
    <row r="326" spans="2:9" x14ac:dyDescent="0.25">
      <c r="B326" s="2" t="s">
        <v>332</v>
      </c>
      <c r="C326" s="3">
        <v>30</v>
      </c>
      <c r="D326" s="3" t="s">
        <v>863</v>
      </c>
      <c r="E326" s="21">
        <v>2019</v>
      </c>
      <c r="F326" s="3">
        <v>22</v>
      </c>
      <c r="G326" s="3" t="s">
        <v>899</v>
      </c>
      <c r="H326" s="38">
        <v>2019</v>
      </c>
      <c r="I326" s="43" t="s">
        <v>3</v>
      </c>
    </row>
    <row r="327" spans="2:9" x14ac:dyDescent="0.25">
      <c r="B327" s="2" t="s">
        <v>333</v>
      </c>
      <c r="C327" s="3">
        <v>30</v>
      </c>
      <c r="D327" s="3" t="s">
        <v>863</v>
      </c>
      <c r="E327" s="21">
        <v>2019</v>
      </c>
      <c r="F327" s="3">
        <v>30</v>
      </c>
      <c r="G327" s="3" t="s">
        <v>869</v>
      </c>
      <c r="H327" s="38">
        <v>2019</v>
      </c>
      <c r="I327" s="43" t="s">
        <v>3</v>
      </c>
    </row>
    <row r="328" spans="2:9" x14ac:dyDescent="0.25">
      <c r="B328" s="2" t="s">
        <v>334</v>
      </c>
      <c r="C328" s="3">
        <v>30</v>
      </c>
      <c r="D328" s="3" t="s">
        <v>863</v>
      </c>
      <c r="E328" s="21">
        <v>2019</v>
      </c>
      <c r="F328" s="3">
        <v>24</v>
      </c>
      <c r="G328" s="3" t="s">
        <v>869</v>
      </c>
      <c r="H328" s="38">
        <v>2018</v>
      </c>
      <c r="I328" s="43" t="s">
        <v>3</v>
      </c>
    </row>
    <row r="329" spans="2:9" x14ac:dyDescent="0.25">
      <c r="B329" s="2" t="s">
        <v>335</v>
      </c>
      <c r="C329" s="3">
        <v>30</v>
      </c>
      <c r="D329" s="3" t="s">
        <v>863</v>
      </c>
      <c r="E329" s="21">
        <v>2019</v>
      </c>
      <c r="F329" s="3">
        <v>27</v>
      </c>
      <c r="G329" s="3" t="s">
        <v>899</v>
      </c>
      <c r="H329" s="38">
        <v>2018</v>
      </c>
      <c r="I329" s="43" t="s">
        <v>2</v>
      </c>
    </row>
    <row r="330" spans="2:9" x14ac:dyDescent="0.25">
      <c r="B330" s="2" t="s">
        <v>336</v>
      </c>
      <c r="C330" s="3">
        <v>30</v>
      </c>
      <c r="D330" s="3" t="s">
        <v>863</v>
      </c>
      <c r="E330" s="21">
        <v>2019</v>
      </c>
      <c r="F330" s="3">
        <v>26</v>
      </c>
      <c r="G330" s="3" t="s">
        <v>867</v>
      </c>
      <c r="H330" s="38">
        <v>2019</v>
      </c>
      <c r="I330" s="43" t="s">
        <v>2</v>
      </c>
    </row>
    <row r="331" spans="2:9" x14ac:dyDescent="0.25">
      <c r="B331" s="2" t="s">
        <v>337</v>
      </c>
      <c r="C331" s="3">
        <v>1</v>
      </c>
      <c r="D331" s="3" t="s">
        <v>870</v>
      </c>
      <c r="E331" s="21">
        <v>2019</v>
      </c>
      <c r="F331" s="3">
        <v>11</v>
      </c>
      <c r="G331" s="3" t="s">
        <v>899</v>
      </c>
      <c r="H331" s="38">
        <v>2019</v>
      </c>
      <c r="I331" s="43" t="s">
        <v>2</v>
      </c>
    </row>
    <row r="332" spans="2:9" x14ac:dyDescent="0.25">
      <c r="B332" s="2" t="s">
        <v>338</v>
      </c>
      <c r="C332" s="3">
        <v>1</v>
      </c>
      <c r="D332" s="3" t="s">
        <v>870</v>
      </c>
      <c r="E332" s="21">
        <v>2019</v>
      </c>
      <c r="F332" s="3">
        <v>8</v>
      </c>
      <c r="G332" s="3" t="s">
        <v>868</v>
      </c>
      <c r="H332" s="38">
        <v>2018</v>
      </c>
      <c r="I332" s="43" t="s">
        <v>2</v>
      </c>
    </row>
    <row r="333" spans="2:9" x14ac:dyDescent="0.25">
      <c r="B333" s="2" t="s">
        <v>339</v>
      </c>
      <c r="C333" s="3">
        <v>1</v>
      </c>
      <c r="D333" s="3" t="s">
        <v>870</v>
      </c>
      <c r="E333" s="21">
        <v>2019</v>
      </c>
      <c r="F333" s="3">
        <v>21</v>
      </c>
      <c r="G333" s="3" t="s">
        <v>899</v>
      </c>
      <c r="H333" s="38">
        <v>2019</v>
      </c>
      <c r="I333" s="43" t="s">
        <v>3</v>
      </c>
    </row>
    <row r="334" spans="2:9" x14ac:dyDescent="0.25">
      <c r="B334" s="2" t="s">
        <v>340</v>
      </c>
      <c r="C334" s="3">
        <v>3</v>
      </c>
      <c r="D334" s="3" t="s">
        <v>870</v>
      </c>
      <c r="E334" s="21">
        <v>2019</v>
      </c>
      <c r="F334" s="3">
        <v>18</v>
      </c>
      <c r="G334" s="3" t="s">
        <v>869</v>
      </c>
      <c r="H334" s="38">
        <v>2019</v>
      </c>
      <c r="I334" s="43" t="s">
        <v>2</v>
      </c>
    </row>
    <row r="335" spans="2:9" x14ac:dyDescent="0.25">
      <c r="B335" s="2" t="s">
        <v>341</v>
      </c>
      <c r="C335" s="3">
        <v>3</v>
      </c>
      <c r="D335" s="3" t="s">
        <v>870</v>
      </c>
      <c r="E335" s="21">
        <v>2019</v>
      </c>
      <c r="F335" s="3">
        <v>11</v>
      </c>
      <c r="G335" s="3" t="s">
        <v>899</v>
      </c>
      <c r="H335" s="38">
        <v>2019</v>
      </c>
      <c r="I335" s="43" t="s">
        <v>2</v>
      </c>
    </row>
    <row r="336" spans="2:9" x14ac:dyDescent="0.25">
      <c r="B336" s="2" t="s">
        <v>342</v>
      </c>
      <c r="C336" s="3">
        <v>3</v>
      </c>
      <c r="D336" s="3" t="s">
        <v>870</v>
      </c>
      <c r="E336" s="21">
        <v>2019</v>
      </c>
      <c r="F336" s="3">
        <v>5</v>
      </c>
      <c r="G336" s="3" t="s">
        <v>869</v>
      </c>
      <c r="H336" s="38">
        <v>2019</v>
      </c>
      <c r="I336" s="43" t="s">
        <v>3</v>
      </c>
    </row>
    <row r="337" spans="2:9" x14ac:dyDescent="0.25">
      <c r="B337" s="2" t="s">
        <v>343</v>
      </c>
      <c r="C337" s="3">
        <v>3</v>
      </c>
      <c r="D337" s="3" t="s">
        <v>870</v>
      </c>
      <c r="E337" s="21">
        <v>2019</v>
      </c>
      <c r="F337" s="3">
        <v>7</v>
      </c>
      <c r="G337" s="3" t="s">
        <v>869</v>
      </c>
      <c r="H337" s="38">
        <v>2019</v>
      </c>
      <c r="I337" s="43" t="s">
        <v>2</v>
      </c>
    </row>
    <row r="338" spans="2:9" x14ac:dyDescent="0.25">
      <c r="B338" s="2" t="s">
        <v>344</v>
      </c>
      <c r="C338" s="3">
        <v>3</v>
      </c>
      <c r="D338" s="3" t="s">
        <v>870</v>
      </c>
      <c r="E338" s="21">
        <v>2019</v>
      </c>
      <c r="F338" s="3">
        <v>29</v>
      </c>
      <c r="G338" s="3" t="s">
        <v>869</v>
      </c>
      <c r="H338" s="38">
        <v>2019</v>
      </c>
      <c r="I338" s="43" t="s">
        <v>2</v>
      </c>
    </row>
    <row r="339" spans="2:9" x14ac:dyDescent="0.25">
      <c r="B339" s="2" t="s">
        <v>345</v>
      </c>
      <c r="C339" s="3">
        <v>3</v>
      </c>
      <c r="D339" s="3" t="s">
        <v>870</v>
      </c>
      <c r="E339" s="21">
        <v>2019</v>
      </c>
      <c r="F339" s="3">
        <v>6</v>
      </c>
      <c r="G339" s="3" t="s">
        <v>899</v>
      </c>
      <c r="H339" s="38">
        <v>2019</v>
      </c>
      <c r="I339" s="43" t="s">
        <v>3</v>
      </c>
    </row>
    <row r="340" spans="2:9" x14ac:dyDescent="0.25">
      <c r="B340" s="2" t="s">
        <v>346</v>
      </c>
      <c r="C340" s="3">
        <v>3</v>
      </c>
      <c r="D340" s="3" t="s">
        <v>870</v>
      </c>
      <c r="E340" s="21">
        <v>2019</v>
      </c>
      <c r="F340" s="3">
        <v>28</v>
      </c>
      <c r="G340" s="3" t="s">
        <v>864</v>
      </c>
      <c r="H340" s="38">
        <v>2019</v>
      </c>
      <c r="I340" s="43" t="s">
        <v>2</v>
      </c>
    </row>
    <row r="341" spans="2:9" x14ac:dyDescent="0.25">
      <c r="B341" s="2" t="s">
        <v>347</v>
      </c>
      <c r="C341" s="3">
        <v>3</v>
      </c>
      <c r="D341" s="3" t="s">
        <v>870</v>
      </c>
      <c r="E341" s="21">
        <v>2019</v>
      </c>
      <c r="F341" s="3">
        <v>18</v>
      </c>
      <c r="G341" s="3" t="s">
        <v>899</v>
      </c>
      <c r="H341" s="38">
        <v>2019</v>
      </c>
      <c r="I341" s="43" t="s">
        <v>3</v>
      </c>
    </row>
    <row r="342" spans="2:9" x14ac:dyDescent="0.25">
      <c r="B342" s="2" t="s">
        <v>348</v>
      </c>
      <c r="C342" s="3">
        <v>3</v>
      </c>
      <c r="D342" s="3" t="s">
        <v>870</v>
      </c>
      <c r="E342" s="21">
        <v>2019</v>
      </c>
      <c r="F342" s="3">
        <v>16</v>
      </c>
      <c r="G342" s="3" t="s">
        <v>865</v>
      </c>
      <c r="H342" s="38">
        <v>2019</v>
      </c>
      <c r="I342" s="43" t="s">
        <v>2</v>
      </c>
    </row>
    <row r="343" spans="2:9" x14ac:dyDescent="0.25">
      <c r="B343" s="2" t="s">
        <v>349</v>
      </c>
      <c r="C343" s="3">
        <v>3</v>
      </c>
      <c r="D343" s="3" t="s">
        <v>870</v>
      </c>
      <c r="E343" s="21">
        <v>2019</v>
      </c>
      <c r="F343" s="3">
        <v>3</v>
      </c>
      <c r="G343" s="3" t="s">
        <v>899</v>
      </c>
      <c r="H343" s="40">
        <v>2019</v>
      </c>
      <c r="I343" s="43" t="s">
        <v>3</v>
      </c>
    </row>
    <row r="344" spans="2:9" x14ac:dyDescent="0.25">
      <c r="B344" s="2" t="s">
        <v>350</v>
      </c>
      <c r="C344" s="3">
        <v>3</v>
      </c>
      <c r="D344" s="3" t="s">
        <v>870</v>
      </c>
      <c r="E344" s="21">
        <v>2019</v>
      </c>
      <c r="F344" s="3">
        <v>21</v>
      </c>
      <c r="G344" s="3" t="s">
        <v>858</v>
      </c>
      <c r="H344" s="38">
        <v>2018</v>
      </c>
      <c r="I344" s="43" t="s">
        <v>3</v>
      </c>
    </row>
    <row r="345" spans="2:9" x14ac:dyDescent="0.25">
      <c r="B345" s="2" t="s">
        <v>351</v>
      </c>
      <c r="C345" s="3">
        <v>3</v>
      </c>
      <c r="D345" s="3" t="s">
        <v>870</v>
      </c>
      <c r="E345" s="21">
        <v>2019</v>
      </c>
      <c r="F345" s="3">
        <v>13</v>
      </c>
      <c r="G345" s="3" t="s">
        <v>899</v>
      </c>
      <c r="H345" s="38">
        <v>2019</v>
      </c>
      <c r="I345" s="43" t="s">
        <v>2</v>
      </c>
    </row>
    <row r="346" spans="2:9" x14ac:dyDescent="0.25">
      <c r="B346" s="2" t="s">
        <v>352</v>
      </c>
      <c r="C346" s="3">
        <v>3</v>
      </c>
      <c r="D346" s="3" t="s">
        <v>870</v>
      </c>
      <c r="E346" s="21">
        <v>2019</v>
      </c>
      <c r="F346" s="3">
        <v>22</v>
      </c>
      <c r="G346" s="3" t="s">
        <v>899</v>
      </c>
      <c r="H346" s="38">
        <v>2019</v>
      </c>
      <c r="I346" s="43" t="s">
        <v>3</v>
      </c>
    </row>
    <row r="347" spans="2:9" x14ac:dyDescent="0.25">
      <c r="B347" s="2" t="s">
        <v>353</v>
      </c>
      <c r="C347" s="3">
        <v>3</v>
      </c>
      <c r="D347" s="3" t="s">
        <v>870</v>
      </c>
      <c r="E347" s="21">
        <v>2019</v>
      </c>
      <c r="F347" s="3">
        <v>9</v>
      </c>
      <c r="G347" s="3" t="s">
        <v>856</v>
      </c>
      <c r="H347" s="38">
        <v>2019</v>
      </c>
      <c r="I347" s="44" t="s">
        <v>2</v>
      </c>
    </row>
    <row r="348" spans="2:9" x14ac:dyDescent="0.25">
      <c r="B348" s="2" t="s">
        <v>354</v>
      </c>
      <c r="C348" s="3">
        <v>3</v>
      </c>
      <c r="D348" s="3" t="s">
        <v>870</v>
      </c>
      <c r="E348" s="21">
        <v>2019</v>
      </c>
      <c r="F348" s="3">
        <v>17</v>
      </c>
      <c r="G348" s="3" t="s">
        <v>899</v>
      </c>
      <c r="H348" s="38">
        <v>2019</v>
      </c>
      <c r="I348" s="43" t="s">
        <v>2</v>
      </c>
    </row>
    <row r="349" spans="2:9" x14ac:dyDescent="0.25">
      <c r="B349" s="2" t="s">
        <v>355</v>
      </c>
      <c r="C349" s="3">
        <v>3</v>
      </c>
      <c r="D349" s="3" t="s">
        <v>870</v>
      </c>
      <c r="E349" s="21">
        <v>2019</v>
      </c>
      <c r="F349" s="3">
        <v>23</v>
      </c>
      <c r="G349" s="3" t="s">
        <v>866</v>
      </c>
      <c r="H349" s="38">
        <v>2019</v>
      </c>
      <c r="I349" s="43" t="s">
        <v>3</v>
      </c>
    </row>
    <row r="350" spans="2:9" x14ac:dyDescent="0.25">
      <c r="B350" s="2" t="s">
        <v>356</v>
      </c>
      <c r="C350" s="3">
        <v>3</v>
      </c>
      <c r="D350" s="3" t="s">
        <v>870</v>
      </c>
      <c r="E350" s="21">
        <v>2019</v>
      </c>
      <c r="F350" s="3">
        <v>8</v>
      </c>
      <c r="G350" s="3" t="s">
        <v>858</v>
      </c>
      <c r="H350" s="38">
        <v>2018</v>
      </c>
      <c r="I350" s="43" t="s">
        <v>3</v>
      </c>
    </row>
    <row r="351" spans="2:9" x14ac:dyDescent="0.25">
      <c r="B351" s="2" t="s">
        <v>357</v>
      </c>
      <c r="C351" s="3">
        <v>3</v>
      </c>
      <c r="D351" s="3" t="s">
        <v>870</v>
      </c>
      <c r="E351" s="21">
        <v>2019</v>
      </c>
      <c r="F351" s="3">
        <v>14</v>
      </c>
      <c r="G351" s="3" t="s">
        <v>866</v>
      </c>
      <c r="H351" s="38">
        <v>2019</v>
      </c>
      <c r="I351" s="43" t="s">
        <v>3</v>
      </c>
    </row>
    <row r="352" spans="2:9" x14ac:dyDescent="0.25">
      <c r="B352" s="2" t="s">
        <v>358</v>
      </c>
      <c r="C352" s="3">
        <v>3</v>
      </c>
      <c r="D352" s="3" t="s">
        <v>870</v>
      </c>
      <c r="E352" s="21">
        <v>2019</v>
      </c>
      <c r="F352" s="3">
        <v>27</v>
      </c>
      <c r="G352" s="3" t="s">
        <v>899</v>
      </c>
      <c r="H352" s="38">
        <v>2019</v>
      </c>
      <c r="I352" s="43" t="s">
        <v>3</v>
      </c>
    </row>
    <row r="353" spans="2:9" x14ac:dyDescent="0.25">
      <c r="B353" s="2" t="s">
        <v>359</v>
      </c>
      <c r="C353" s="3">
        <v>3</v>
      </c>
      <c r="D353" s="3" t="s">
        <v>870</v>
      </c>
      <c r="E353" s="21">
        <v>2019</v>
      </c>
      <c r="F353" s="3">
        <v>29</v>
      </c>
      <c r="G353" s="3" t="s">
        <v>899</v>
      </c>
      <c r="H353" s="38">
        <v>2019</v>
      </c>
      <c r="I353" s="43" t="s">
        <v>2</v>
      </c>
    </row>
    <row r="354" spans="2:9" x14ac:dyDescent="0.25">
      <c r="B354" s="2" t="s">
        <v>360</v>
      </c>
      <c r="C354" s="3">
        <v>3</v>
      </c>
      <c r="D354" s="3" t="s">
        <v>870</v>
      </c>
      <c r="E354" s="21">
        <v>2019</v>
      </c>
      <c r="F354" s="3">
        <v>27</v>
      </c>
      <c r="G354" s="3" t="s">
        <v>864</v>
      </c>
      <c r="H354" s="38">
        <v>2019</v>
      </c>
      <c r="I354" s="43" t="s">
        <v>2</v>
      </c>
    </row>
    <row r="355" spans="2:9" x14ac:dyDescent="0.25">
      <c r="B355" s="2" t="s">
        <v>361</v>
      </c>
      <c r="C355" s="3">
        <v>3</v>
      </c>
      <c r="D355" s="3" t="s">
        <v>870</v>
      </c>
      <c r="E355" s="21">
        <v>2019</v>
      </c>
      <c r="F355" s="3">
        <v>24</v>
      </c>
      <c r="G355" s="3" t="s">
        <v>899</v>
      </c>
      <c r="H355" s="38">
        <v>2019</v>
      </c>
      <c r="I355" s="43" t="s">
        <v>2</v>
      </c>
    </row>
    <row r="356" spans="2:9" x14ac:dyDescent="0.25">
      <c r="B356" s="2" t="s">
        <v>362</v>
      </c>
      <c r="C356" s="3">
        <v>3</v>
      </c>
      <c r="D356" s="3" t="s">
        <v>870</v>
      </c>
      <c r="E356" s="21">
        <v>2019</v>
      </c>
      <c r="F356" s="3">
        <v>3</v>
      </c>
      <c r="G356" s="3" t="s">
        <v>856</v>
      </c>
      <c r="H356" s="38">
        <v>2019</v>
      </c>
      <c r="I356" s="44" t="s">
        <v>3</v>
      </c>
    </row>
    <row r="357" spans="2:9" x14ac:dyDescent="0.25">
      <c r="B357" s="2" t="s">
        <v>363</v>
      </c>
      <c r="C357" s="3">
        <v>3</v>
      </c>
      <c r="D357" s="3" t="s">
        <v>870</v>
      </c>
      <c r="E357" s="21">
        <v>2019</v>
      </c>
      <c r="F357" s="3">
        <v>20</v>
      </c>
      <c r="G357" s="3" t="s">
        <v>899</v>
      </c>
      <c r="H357" s="38">
        <v>2019</v>
      </c>
      <c r="I357" s="43" t="s">
        <v>3</v>
      </c>
    </row>
    <row r="358" spans="2:9" x14ac:dyDescent="0.25">
      <c r="B358" s="2" t="s">
        <v>364</v>
      </c>
      <c r="C358" s="3">
        <v>3</v>
      </c>
      <c r="D358" s="3" t="s">
        <v>870</v>
      </c>
      <c r="E358" s="21">
        <v>2019</v>
      </c>
      <c r="F358" s="3">
        <v>17</v>
      </c>
      <c r="G358" s="3" t="s">
        <v>870</v>
      </c>
      <c r="H358" s="38">
        <v>2019</v>
      </c>
      <c r="I358" s="43" t="s">
        <v>2</v>
      </c>
    </row>
    <row r="359" spans="2:9" x14ac:dyDescent="0.25">
      <c r="B359" s="2" t="s">
        <v>365</v>
      </c>
      <c r="C359" s="3">
        <v>3</v>
      </c>
      <c r="D359" s="3" t="s">
        <v>870</v>
      </c>
      <c r="E359" s="21">
        <v>2019</v>
      </c>
      <c r="F359" s="3">
        <v>4</v>
      </c>
      <c r="G359" s="3" t="s">
        <v>864</v>
      </c>
      <c r="H359" s="38">
        <v>2019</v>
      </c>
      <c r="I359" s="43" t="s">
        <v>2</v>
      </c>
    </row>
    <row r="360" spans="2:9" x14ac:dyDescent="0.25">
      <c r="B360" s="2" t="s">
        <v>366</v>
      </c>
      <c r="C360" s="3">
        <v>3</v>
      </c>
      <c r="D360" s="3" t="s">
        <v>870</v>
      </c>
      <c r="E360" s="21">
        <v>2019</v>
      </c>
      <c r="F360" s="3">
        <v>8</v>
      </c>
      <c r="G360" s="3" t="s">
        <v>899</v>
      </c>
      <c r="H360" s="38">
        <v>2019</v>
      </c>
      <c r="I360" s="43" t="s">
        <v>3</v>
      </c>
    </row>
    <row r="361" spans="2:9" x14ac:dyDescent="0.25">
      <c r="B361" s="2" t="s">
        <v>367</v>
      </c>
      <c r="C361" s="3">
        <v>3</v>
      </c>
      <c r="D361" s="3" t="s">
        <v>870</v>
      </c>
      <c r="E361" s="21">
        <v>2019</v>
      </c>
      <c r="F361" s="3">
        <v>1</v>
      </c>
      <c r="G361" s="3" t="s">
        <v>870</v>
      </c>
      <c r="H361" s="38">
        <v>2019</v>
      </c>
      <c r="I361" s="43" t="s">
        <v>2</v>
      </c>
    </row>
    <row r="362" spans="2:9" x14ac:dyDescent="0.25">
      <c r="B362" s="2" t="s">
        <v>368</v>
      </c>
      <c r="C362" s="3">
        <v>3</v>
      </c>
      <c r="D362" s="3" t="s">
        <v>870</v>
      </c>
      <c r="E362" s="21">
        <v>2019</v>
      </c>
      <c r="F362" s="3">
        <v>22</v>
      </c>
      <c r="G362" s="3" t="s">
        <v>909</v>
      </c>
      <c r="H362" s="38">
        <v>2018</v>
      </c>
      <c r="I362" s="43" t="s">
        <v>2</v>
      </c>
    </row>
    <row r="363" spans="2:9" x14ac:dyDescent="0.25">
      <c r="B363" s="2" t="s">
        <v>369</v>
      </c>
      <c r="C363" s="3">
        <v>3</v>
      </c>
      <c r="D363" s="3" t="s">
        <v>870</v>
      </c>
      <c r="E363" s="21">
        <v>2019</v>
      </c>
      <c r="F363" s="3">
        <v>2</v>
      </c>
      <c r="G363" s="3" t="s">
        <v>869</v>
      </c>
      <c r="H363" s="38">
        <v>2019</v>
      </c>
      <c r="I363" s="2" t="s">
        <v>3</v>
      </c>
    </row>
    <row r="364" spans="2:9" x14ac:dyDescent="0.25">
      <c r="B364" s="2" t="s">
        <v>370</v>
      </c>
      <c r="C364" s="3">
        <v>4</v>
      </c>
      <c r="D364" s="3" t="s">
        <v>870</v>
      </c>
      <c r="E364" s="21">
        <v>2019</v>
      </c>
      <c r="F364" s="3">
        <v>30</v>
      </c>
      <c r="G364" s="3" t="s">
        <v>899</v>
      </c>
      <c r="H364" s="38">
        <v>2019</v>
      </c>
      <c r="I364" s="43" t="s">
        <v>2</v>
      </c>
    </row>
    <row r="365" spans="2:9" x14ac:dyDescent="0.25">
      <c r="B365" s="2" t="s">
        <v>371</v>
      </c>
      <c r="C365" s="3">
        <v>4</v>
      </c>
      <c r="D365" s="3" t="s">
        <v>870</v>
      </c>
      <c r="E365" s="21">
        <v>2019</v>
      </c>
      <c r="F365" s="3">
        <v>12</v>
      </c>
      <c r="G365" s="3" t="s">
        <v>899</v>
      </c>
      <c r="H365" s="38">
        <v>2019</v>
      </c>
      <c r="I365" s="43" t="s">
        <v>2</v>
      </c>
    </row>
    <row r="366" spans="2:9" x14ac:dyDescent="0.25">
      <c r="B366" s="2" t="s">
        <v>372</v>
      </c>
      <c r="C366" s="3">
        <v>4</v>
      </c>
      <c r="D366" s="3" t="s">
        <v>870</v>
      </c>
      <c r="E366" s="21">
        <v>2019</v>
      </c>
      <c r="F366" s="3">
        <v>2</v>
      </c>
      <c r="G366" s="3" t="s">
        <v>857</v>
      </c>
      <c r="H366" s="38">
        <v>2017</v>
      </c>
      <c r="I366" s="43" t="s">
        <v>3</v>
      </c>
    </row>
    <row r="367" spans="2:9" x14ac:dyDescent="0.25">
      <c r="B367" s="2" t="s">
        <v>373</v>
      </c>
      <c r="C367" s="3">
        <v>4</v>
      </c>
      <c r="D367" s="3" t="s">
        <v>870</v>
      </c>
      <c r="E367" s="21">
        <v>2019</v>
      </c>
      <c r="F367" s="3">
        <v>10</v>
      </c>
      <c r="G367" s="3" t="s">
        <v>864</v>
      </c>
      <c r="H367" s="38">
        <v>2019</v>
      </c>
      <c r="I367" s="43" t="s">
        <v>2</v>
      </c>
    </row>
    <row r="368" spans="2:9" x14ac:dyDescent="0.25">
      <c r="B368" s="2" t="s">
        <v>374</v>
      </c>
      <c r="C368" s="3">
        <v>4</v>
      </c>
      <c r="D368" s="3" t="s">
        <v>870</v>
      </c>
      <c r="E368" s="21">
        <v>2019</v>
      </c>
      <c r="F368" s="3">
        <v>24</v>
      </c>
      <c r="G368" s="3" t="s">
        <v>899</v>
      </c>
      <c r="H368" s="38">
        <v>2019</v>
      </c>
      <c r="I368" s="43" t="s">
        <v>3</v>
      </c>
    </row>
    <row r="369" spans="2:9" x14ac:dyDescent="0.25">
      <c r="B369" s="2" t="s">
        <v>375</v>
      </c>
      <c r="C369" s="3">
        <v>4</v>
      </c>
      <c r="D369" s="3" t="s">
        <v>870</v>
      </c>
      <c r="E369" s="21">
        <v>2019</v>
      </c>
      <c r="F369" s="3">
        <v>30</v>
      </c>
      <c r="G369" s="3" t="s">
        <v>899</v>
      </c>
      <c r="H369" s="38">
        <v>2019</v>
      </c>
      <c r="I369" s="43" t="s">
        <v>2</v>
      </c>
    </row>
    <row r="370" spans="2:9" x14ac:dyDescent="0.25">
      <c r="B370" s="2" t="s">
        <v>376</v>
      </c>
      <c r="C370" s="3">
        <v>4</v>
      </c>
      <c r="D370" s="3" t="s">
        <v>870</v>
      </c>
      <c r="E370" s="21">
        <v>2019</v>
      </c>
      <c r="F370" s="3">
        <v>6</v>
      </c>
      <c r="G370" s="3" t="s">
        <v>869</v>
      </c>
      <c r="H370" s="38">
        <v>2019</v>
      </c>
      <c r="I370" s="43" t="s">
        <v>2</v>
      </c>
    </row>
    <row r="371" spans="2:9" x14ac:dyDescent="0.25">
      <c r="B371" s="2" t="s">
        <v>377</v>
      </c>
      <c r="C371" s="3">
        <v>7</v>
      </c>
      <c r="D371" s="3" t="s">
        <v>870</v>
      </c>
      <c r="E371" s="21">
        <v>2019</v>
      </c>
      <c r="F371" s="3">
        <v>2</v>
      </c>
      <c r="G371" s="3" t="s">
        <v>899</v>
      </c>
      <c r="H371" s="38">
        <v>2019</v>
      </c>
      <c r="I371" s="43" t="s">
        <v>3</v>
      </c>
    </row>
    <row r="372" spans="2:9" x14ac:dyDescent="0.25">
      <c r="B372" s="2" t="s">
        <v>378</v>
      </c>
      <c r="C372" s="3">
        <v>10</v>
      </c>
      <c r="D372" s="3" t="s">
        <v>870</v>
      </c>
      <c r="E372" s="21">
        <v>2019</v>
      </c>
      <c r="F372" s="3">
        <v>20</v>
      </c>
      <c r="G372" s="3" t="s">
        <v>868</v>
      </c>
      <c r="H372" s="38">
        <v>2019</v>
      </c>
      <c r="I372" s="43" t="s">
        <v>2</v>
      </c>
    </row>
    <row r="373" spans="2:9" x14ac:dyDescent="0.25">
      <c r="B373" s="2" t="s">
        <v>379</v>
      </c>
      <c r="C373" s="3">
        <v>10</v>
      </c>
      <c r="D373" s="3" t="s">
        <v>870</v>
      </c>
      <c r="E373" s="21">
        <v>2019</v>
      </c>
      <c r="F373" s="3">
        <v>31</v>
      </c>
      <c r="G373" s="3" t="s">
        <v>869</v>
      </c>
      <c r="H373" s="38">
        <v>2013</v>
      </c>
      <c r="I373" s="43" t="s">
        <v>2</v>
      </c>
    </row>
    <row r="374" spans="2:9" x14ac:dyDescent="0.25">
      <c r="B374" s="2" t="s">
        <v>380</v>
      </c>
      <c r="C374" s="3">
        <v>11</v>
      </c>
      <c r="D374" s="3" t="s">
        <v>870</v>
      </c>
      <c r="E374" s="21">
        <v>2019</v>
      </c>
      <c r="F374" s="3">
        <v>3</v>
      </c>
      <c r="G374" s="3" t="s">
        <v>870</v>
      </c>
      <c r="H374" s="38">
        <v>2019</v>
      </c>
      <c r="I374" s="43" t="s">
        <v>2</v>
      </c>
    </row>
    <row r="375" spans="2:9" x14ac:dyDescent="0.25">
      <c r="B375" s="2" t="s">
        <v>381</v>
      </c>
      <c r="C375" s="3">
        <v>11</v>
      </c>
      <c r="D375" s="3" t="s">
        <v>870</v>
      </c>
      <c r="E375" s="21">
        <v>2019</v>
      </c>
      <c r="F375" s="3">
        <v>29</v>
      </c>
      <c r="G375" s="3" t="s">
        <v>899</v>
      </c>
      <c r="H375" s="38">
        <v>2019</v>
      </c>
      <c r="I375" s="43" t="s">
        <v>3</v>
      </c>
    </row>
    <row r="376" spans="2:9" x14ac:dyDescent="0.25">
      <c r="B376" s="2" t="s">
        <v>382</v>
      </c>
      <c r="C376" s="3">
        <v>11</v>
      </c>
      <c r="D376" s="3" t="s">
        <v>870</v>
      </c>
      <c r="E376" s="21">
        <v>2019</v>
      </c>
      <c r="F376" s="3">
        <v>25</v>
      </c>
      <c r="G376" s="3" t="s">
        <v>899</v>
      </c>
      <c r="H376" s="38">
        <v>2019</v>
      </c>
      <c r="I376" s="43" t="s">
        <v>2</v>
      </c>
    </row>
    <row r="377" spans="2:9" x14ac:dyDescent="0.25">
      <c r="B377" s="2" t="s">
        <v>383</v>
      </c>
      <c r="C377" s="3">
        <v>11</v>
      </c>
      <c r="D377" s="3" t="s">
        <v>870</v>
      </c>
      <c r="E377" s="21">
        <v>2019</v>
      </c>
      <c r="F377" s="3">
        <v>27</v>
      </c>
      <c r="G377" s="3" t="s">
        <v>864</v>
      </c>
      <c r="H377" s="38">
        <v>2019</v>
      </c>
      <c r="I377" s="43" t="s">
        <v>3</v>
      </c>
    </row>
    <row r="378" spans="2:9" x14ac:dyDescent="0.25">
      <c r="B378" s="2" t="s">
        <v>384</v>
      </c>
      <c r="C378" s="3">
        <v>11</v>
      </c>
      <c r="D378" s="3" t="s">
        <v>870</v>
      </c>
      <c r="E378" s="21">
        <v>2019</v>
      </c>
      <c r="F378" s="3">
        <v>2</v>
      </c>
      <c r="G378" s="3" t="s">
        <v>870</v>
      </c>
      <c r="H378" s="38">
        <v>2019</v>
      </c>
      <c r="I378" s="43" t="s">
        <v>2</v>
      </c>
    </row>
    <row r="379" spans="2:9" x14ac:dyDescent="0.25">
      <c r="B379" s="2" t="s">
        <v>385</v>
      </c>
      <c r="C379" s="3">
        <v>17</v>
      </c>
      <c r="D379" s="3" t="s">
        <v>870</v>
      </c>
      <c r="E379" s="21">
        <v>2019</v>
      </c>
      <c r="F379" s="3">
        <v>6</v>
      </c>
      <c r="G379" s="3" t="s">
        <v>899</v>
      </c>
      <c r="H379" s="38">
        <v>2019</v>
      </c>
      <c r="I379" s="43" t="s">
        <v>3</v>
      </c>
    </row>
    <row r="380" spans="2:9" x14ac:dyDescent="0.25">
      <c r="B380" s="2" t="s">
        <v>386</v>
      </c>
      <c r="C380" s="3">
        <v>17</v>
      </c>
      <c r="D380" s="3" t="s">
        <v>870</v>
      </c>
      <c r="E380" s="21">
        <v>2019</v>
      </c>
      <c r="F380" s="3">
        <v>4</v>
      </c>
      <c r="G380" s="3" t="s">
        <v>870</v>
      </c>
      <c r="H380" s="38">
        <v>2019</v>
      </c>
      <c r="I380" s="43" t="s">
        <v>3</v>
      </c>
    </row>
    <row r="381" spans="2:9" x14ac:dyDescent="0.25">
      <c r="B381" s="2" t="s">
        <v>387</v>
      </c>
      <c r="C381" s="3">
        <v>17</v>
      </c>
      <c r="D381" s="3" t="s">
        <v>870</v>
      </c>
      <c r="E381" s="21">
        <v>2019</v>
      </c>
      <c r="F381" s="3">
        <v>7</v>
      </c>
      <c r="G381" s="3" t="s">
        <v>864</v>
      </c>
      <c r="H381" s="38">
        <v>1959</v>
      </c>
      <c r="I381" s="43" t="s">
        <v>3</v>
      </c>
    </row>
    <row r="382" spans="2:9" x14ac:dyDescent="0.25">
      <c r="B382" s="2" t="s">
        <v>388</v>
      </c>
      <c r="C382" s="3">
        <v>18</v>
      </c>
      <c r="D382" s="3" t="s">
        <v>870</v>
      </c>
      <c r="E382" s="21">
        <v>2019</v>
      </c>
      <c r="F382" s="3">
        <v>10</v>
      </c>
      <c r="G382" s="3" t="s">
        <v>864</v>
      </c>
      <c r="H382" s="38">
        <v>2018</v>
      </c>
      <c r="I382" s="43" t="s">
        <v>2</v>
      </c>
    </row>
    <row r="383" spans="2:9" x14ac:dyDescent="0.25">
      <c r="B383" s="2" t="s">
        <v>389</v>
      </c>
      <c r="C383" s="3">
        <v>18</v>
      </c>
      <c r="D383" s="3" t="s">
        <v>870</v>
      </c>
      <c r="E383" s="21">
        <v>2019</v>
      </c>
      <c r="F383" s="3">
        <v>20</v>
      </c>
      <c r="G383" s="3" t="s">
        <v>899</v>
      </c>
      <c r="H383" s="38">
        <v>2019</v>
      </c>
      <c r="I383" s="43" t="s">
        <v>3</v>
      </c>
    </row>
    <row r="384" spans="2:9" x14ac:dyDescent="0.25">
      <c r="B384" s="2" t="s">
        <v>390</v>
      </c>
      <c r="C384" s="3">
        <v>21</v>
      </c>
      <c r="D384" s="3" t="s">
        <v>870</v>
      </c>
      <c r="E384" s="21">
        <v>2019</v>
      </c>
      <c r="F384" s="3">
        <v>14</v>
      </c>
      <c r="G384" s="3" t="s">
        <v>867</v>
      </c>
      <c r="H384" s="38">
        <v>2014</v>
      </c>
      <c r="I384" s="43" t="s">
        <v>2</v>
      </c>
    </row>
    <row r="385" spans="2:9" x14ac:dyDescent="0.25">
      <c r="B385" s="2" t="s">
        <v>391</v>
      </c>
      <c r="C385" s="3">
        <v>21</v>
      </c>
      <c r="D385" s="3" t="s">
        <v>870</v>
      </c>
      <c r="E385" s="21">
        <v>2019</v>
      </c>
      <c r="F385" s="3">
        <v>23</v>
      </c>
      <c r="G385" s="3" t="s">
        <v>869</v>
      </c>
      <c r="H385" s="38">
        <v>2016</v>
      </c>
      <c r="I385" s="43" t="s">
        <v>3</v>
      </c>
    </row>
    <row r="386" spans="2:9" x14ac:dyDescent="0.25">
      <c r="B386" s="2" t="s">
        <v>392</v>
      </c>
      <c r="C386" s="3">
        <v>22</v>
      </c>
      <c r="D386" s="3" t="s">
        <v>870</v>
      </c>
      <c r="E386" s="21">
        <v>2019</v>
      </c>
      <c r="F386" s="3">
        <v>14</v>
      </c>
      <c r="G386" s="3" t="s">
        <v>870</v>
      </c>
      <c r="H386" s="38">
        <v>2019</v>
      </c>
      <c r="I386" s="43" t="s">
        <v>2</v>
      </c>
    </row>
    <row r="387" spans="2:9" x14ac:dyDescent="0.25">
      <c r="B387" s="2" t="s">
        <v>393</v>
      </c>
      <c r="C387" s="3">
        <v>22</v>
      </c>
      <c r="D387" s="3" t="s">
        <v>870</v>
      </c>
      <c r="E387" s="21">
        <v>2019</v>
      </c>
      <c r="F387" s="3">
        <v>13</v>
      </c>
      <c r="G387" s="3" t="s">
        <v>870</v>
      </c>
      <c r="H387" s="38">
        <v>2019</v>
      </c>
      <c r="I387" s="43" t="s">
        <v>2</v>
      </c>
    </row>
    <row r="388" spans="2:9" x14ac:dyDescent="0.25">
      <c r="B388" s="2" t="s">
        <v>394</v>
      </c>
      <c r="C388" s="3">
        <v>24</v>
      </c>
      <c r="D388" s="3" t="s">
        <v>870</v>
      </c>
      <c r="E388" s="21">
        <v>2019</v>
      </c>
      <c r="F388" s="3">
        <v>27</v>
      </c>
      <c r="G388" s="3" t="s">
        <v>899</v>
      </c>
      <c r="H388" s="38">
        <v>2019</v>
      </c>
      <c r="I388" s="43" t="s">
        <v>3</v>
      </c>
    </row>
    <row r="389" spans="2:9" x14ac:dyDescent="0.25">
      <c r="B389" s="2" t="s">
        <v>395</v>
      </c>
      <c r="C389" s="3">
        <v>25</v>
      </c>
      <c r="D389" s="3" t="s">
        <v>870</v>
      </c>
      <c r="E389" s="21">
        <v>2019</v>
      </c>
      <c r="F389" s="3">
        <v>1</v>
      </c>
      <c r="G389" s="3" t="s">
        <v>870</v>
      </c>
      <c r="H389" s="38">
        <v>2019</v>
      </c>
      <c r="I389" s="43" t="s">
        <v>2</v>
      </c>
    </row>
    <row r="390" spans="2:9" x14ac:dyDescent="0.25">
      <c r="B390" s="2" t="s">
        <v>396</v>
      </c>
      <c r="C390" s="3">
        <v>25</v>
      </c>
      <c r="D390" s="3" t="s">
        <v>870</v>
      </c>
      <c r="E390" s="21">
        <v>2019</v>
      </c>
      <c r="F390" s="3">
        <v>31</v>
      </c>
      <c r="G390" s="3" t="s">
        <v>856</v>
      </c>
      <c r="H390" s="38">
        <v>2019</v>
      </c>
      <c r="I390" s="43" t="s">
        <v>2</v>
      </c>
    </row>
    <row r="391" spans="2:9" x14ac:dyDescent="0.25">
      <c r="B391" s="2" t="s">
        <v>397</v>
      </c>
      <c r="C391" s="3">
        <v>25</v>
      </c>
      <c r="D391" s="3" t="s">
        <v>870</v>
      </c>
      <c r="E391" s="21">
        <v>2019</v>
      </c>
      <c r="F391" s="3">
        <v>17</v>
      </c>
      <c r="G391" s="3" t="s">
        <v>869</v>
      </c>
      <c r="H391" s="38">
        <v>2016</v>
      </c>
      <c r="I391" s="43" t="s">
        <v>3</v>
      </c>
    </row>
    <row r="392" spans="2:9" x14ac:dyDescent="0.25">
      <c r="B392" s="2" t="s">
        <v>398</v>
      </c>
      <c r="C392" s="3">
        <v>25</v>
      </c>
      <c r="D392" s="3" t="s">
        <v>870</v>
      </c>
      <c r="E392" s="21">
        <v>2019</v>
      </c>
      <c r="F392" s="3">
        <v>12</v>
      </c>
      <c r="G392" s="3" t="s">
        <v>869</v>
      </c>
      <c r="H392" s="38">
        <v>2019</v>
      </c>
      <c r="I392" s="43" t="s">
        <v>2</v>
      </c>
    </row>
    <row r="393" spans="2:9" x14ac:dyDescent="0.25">
      <c r="B393" s="2" t="s">
        <v>399</v>
      </c>
      <c r="C393" s="3">
        <v>28</v>
      </c>
      <c r="D393" s="3" t="s">
        <v>870</v>
      </c>
      <c r="E393" s="21">
        <v>2019</v>
      </c>
      <c r="F393" s="3">
        <v>24</v>
      </c>
      <c r="G393" s="3" t="s">
        <v>870</v>
      </c>
      <c r="H393" s="38">
        <v>2019</v>
      </c>
      <c r="I393" s="45" t="s">
        <v>2</v>
      </c>
    </row>
    <row r="394" spans="2:9" x14ac:dyDescent="0.25">
      <c r="B394" s="2" t="s">
        <v>400</v>
      </c>
      <c r="C394" s="3">
        <v>28</v>
      </c>
      <c r="D394" s="3" t="s">
        <v>870</v>
      </c>
      <c r="E394" s="21">
        <v>2019</v>
      </c>
      <c r="F394" s="3">
        <v>23</v>
      </c>
      <c r="G394" s="3" t="s">
        <v>870</v>
      </c>
      <c r="H394" s="38">
        <v>2019</v>
      </c>
      <c r="I394" s="43" t="s">
        <v>2</v>
      </c>
    </row>
    <row r="395" spans="2:9" x14ac:dyDescent="0.25">
      <c r="B395" s="2" t="s">
        <v>401</v>
      </c>
      <c r="C395" s="3">
        <v>28</v>
      </c>
      <c r="D395" s="3" t="s">
        <v>870</v>
      </c>
      <c r="E395" s="21">
        <v>2019</v>
      </c>
      <c r="F395" s="3">
        <v>23</v>
      </c>
      <c r="G395" s="3" t="s">
        <v>870</v>
      </c>
      <c r="H395" s="38">
        <v>2019</v>
      </c>
      <c r="I395" s="43" t="s">
        <v>2</v>
      </c>
    </row>
    <row r="396" spans="2:9" x14ac:dyDescent="0.25">
      <c r="B396" s="2" t="s">
        <v>402</v>
      </c>
      <c r="C396" s="3">
        <v>28</v>
      </c>
      <c r="D396" s="3" t="s">
        <v>870</v>
      </c>
      <c r="E396" s="21">
        <v>2019</v>
      </c>
      <c r="F396" s="3">
        <v>8</v>
      </c>
      <c r="G396" s="3" t="s">
        <v>870</v>
      </c>
      <c r="H396" s="38">
        <v>2019</v>
      </c>
      <c r="I396" s="43" t="s">
        <v>3</v>
      </c>
    </row>
    <row r="397" spans="2:9" x14ac:dyDescent="0.25">
      <c r="B397" s="2" t="s">
        <v>403</v>
      </c>
      <c r="C397" s="3">
        <v>28</v>
      </c>
      <c r="D397" s="3" t="s">
        <v>870</v>
      </c>
      <c r="E397" s="21">
        <v>2019</v>
      </c>
      <c r="F397" s="3">
        <v>24</v>
      </c>
      <c r="G397" s="3" t="s">
        <v>870</v>
      </c>
      <c r="H397" s="38">
        <v>2019</v>
      </c>
      <c r="I397" s="43" t="s">
        <v>2</v>
      </c>
    </row>
    <row r="398" spans="2:9" x14ac:dyDescent="0.25">
      <c r="B398" s="2" t="s">
        <v>404</v>
      </c>
      <c r="C398" s="3">
        <v>28</v>
      </c>
      <c r="D398" s="3" t="s">
        <v>870</v>
      </c>
      <c r="E398" s="21">
        <v>2019</v>
      </c>
      <c r="F398" s="3">
        <v>2</v>
      </c>
      <c r="G398" s="3" t="s">
        <v>870</v>
      </c>
      <c r="H398" s="38">
        <v>2019</v>
      </c>
      <c r="I398" s="43" t="s">
        <v>3</v>
      </c>
    </row>
    <row r="399" spans="2:9" x14ac:dyDescent="0.25">
      <c r="B399" s="2" t="s">
        <v>405</v>
      </c>
      <c r="C399" s="3">
        <v>28</v>
      </c>
      <c r="D399" s="3" t="s">
        <v>870</v>
      </c>
      <c r="E399" s="21">
        <v>2019</v>
      </c>
      <c r="F399" s="3">
        <v>4</v>
      </c>
      <c r="G399" s="3" t="s">
        <v>870</v>
      </c>
      <c r="H399" s="38">
        <v>2019</v>
      </c>
      <c r="I399" s="43" t="s">
        <v>2</v>
      </c>
    </row>
    <row r="400" spans="2:9" x14ac:dyDescent="0.25">
      <c r="B400" s="2" t="s">
        <v>406</v>
      </c>
      <c r="C400" s="3">
        <v>28</v>
      </c>
      <c r="D400" s="3" t="s">
        <v>870</v>
      </c>
      <c r="E400" s="21">
        <v>2019</v>
      </c>
      <c r="F400" s="3">
        <v>1</v>
      </c>
      <c r="G400" s="3" t="s">
        <v>870</v>
      </c>
      <c r="H400" s="38">
        <v>2019</v>
      </c>
      <c r="I400" s="43" t="s">
        <v>3</v>
      </c>
    </row>
    <row r="401" spans="2:9" x14ac:dyDescent="0.25">
      <c r="B401" s="2" t="s">
        <v>407</v>
      </c>
      <c r="C401" s="3">
        <v>30</v>
      </c>
      <c r="D401" s="3" t="s">
        <v>870</v>
      </c>
      <c r="E401" s="21">
        <v>2019</v>
      </c>
      <c r="F401" s="3">
        <v>6</v>
      </c>
      <c r="G401" s="3" t="s">
        <v>866</v>
      </c>
      <c r="H401" s="38">
        <v>2018</v>
      </c>
      <c r="I401" s="43" t="s">
        <v>3</v>
      </c>
    </row>
    <row r="402" spans="2:9" x14ac:dyDescent="0.25">
      <c r="B402" s="2" t="s">
        <v>408</v>
      </c>
      <c r="C402" s="3">
        <v>31</v>
      </c>
      <c r="D402" s="3" t="s">
        <v>870</v>
      </c>
      <c r="E402" s="21">
        <v>2019</v>
      </c>
      <c r="F402" s="3">
        <v>28</v>
      </c>
      <c r="G402" s="3" t="s">
        <v>869</v>
      </c>
      <c r="H402" s="38">
        <v>2019</v>
      </c>
      <c r="I402" s="43" t="s">
        <v>3</v>
      </c>
    </row>
    <row r="403" spans="2:9" x14ac:dyDescent="0.25">
      <c r="B403" s="2" t="s">
        <v>409</v>
      </c>
      <c r="C403" s="3">
        <v>31</v>
      </c>
      <c r="D403" s="3" t="s">
        <v>870</v>
      </c>
      <c r="E403" s="21">
        <v>2019</v>
      </c>
      <c r="F403" s="3">
        <v>29</v>
      </c>
      <c r="G403" s="3" t="s">
        <v>899</v>
      </c>
      <c r="H403" s="38">
        <v>2019</v>
      </c>
      <c r="I403" s="43" t="s">
        <v>3</v>
      </c>
    </row>
    <row r="404" spans="2:9" x14ac:dyDescent="0.25">
      <c r="B404" s="2" t="s">
        <v>410</v>
      </c>
      <c r="C404" s="3">
        <v>31</v>
      </c>
      <c r="D404" s="3" t="s">
        <v>870</v>
      </c>
      <c r="E404" s="21">
        <v>2019</v>
      </c>
      <c r="F404" s="3">
        <v>29</v>
      </c>
      <c r="G404" s="3" t="s">
        <v>870</v>
      </c>
      <c r="H404" s="38">
        <v>2019</v>
      </c>
      <c r="I404" s="43" t="s">
        <v>3</v>
      </c>
    </row>
    <row r="405" spans="2:9" x14ac:dyDescent="0.25">
      <c r="B405" s="2" t="s">
        <v>411</v>
      </c>
      <c r="C405" s="3">
        <v>31</v>
      </c>
      <c r="D405" s="3" t="s">
        <v>870</v>
      </c>
      <c r="E405" s="21">
        <v>2019</v>
      </c>
      <c r="F405" s="3">
        <v>27</v>
      </c>
      <c r="G405" s="3" t="s">
        <v>870</v>
      </c>
      <c r="H405" s="38">
        <v>2019</v>
      </c>
      <c r="I405" s="43" t="s">
        <v>2</v>
      </c>
    </row>
    <row r="406" spans="2:9" x14ac:dyDescent="0.25">
      <c r="B406" s="2" t="s">
        <v>412</v>
      </c>
      <c r="C406" s="2">
        <v>4</v>
      </c>
      <c r="D406" s="2" t="s">
        <v>858</v>
      </c>
      <c r="E406" s="21">
        <v>2019</v>
      </c>
      <c r="F406" s="3">
        <v>9</v>
      </c>
      <c r="G406" s="3" t="s">
        <v>899</v>
      </c>
      <c r="H406" s="38">
        <v>2019</v>
      </c>
      <c r="I406" s="43" t="s">
        <v>2</v>
      </c>
    </row>
    <row r="407" spans="2:9" x14ac:dyDescent="0.25">
      <c r="B407" s="2" t="s">
        <v>413</v>
      </c>
      <c r="C407" s="2">
        <v>5</v>
      </c>
      <c r="D407" s="2" t="s">
        <v>858</v>
      </c>
      <c r="E407" s="21">
        <v>2019</v>
      </c>
      <c r="F407" s="3">
        <v>9</v>
      </c>
      <c r="G407" s="3" t="s">
        <v>869</v>
      </c>
      <c r="H407" s="38">
        <v>2019</v>
      </c>
      <c r="I407" s="43" t="s">
        <v>3</v>
      </c>
    </row>
    <row r="408" spans="2:9" x14ac:dyDescent="0.25">
      <c r="B408" s="2" t="s">
        <v>414</v>
      </c>
      <c r="C408" s="2">
        <v>5</v>
      </c>
      <c r="D408" s="2" t="s">
        <v>858</v>
      </c>
      <c r="E408" s="21">
        <v>2019</v>
      </c>
      <c r="F408" s="3">
        <v>14</v>
      </c>
      <c r="G408" s="3" t="s">
        <v>870</v>
      </c>
      <c r="H408" s="38">
        <v>2019</v>
      </c>
      <c r="I408" s="43" t="s">
        <v>3</v>
      </c>
    </row>
    <row r="409" spans="2:9" x14ac:dyDescent="0.25">
      <c r="B409" s="2" t="s">
        <v>415</v>
      </c>
      <c r="C409" s="2">
        <v>5</v>
      </c>
      <c r="D409" s="2" t="s">
        <v>858</v>
      </c>
      <c r="E409" s="21">
        <v>2019</v>
      </c>
      <c r="F409" s="3">
        <v>12</v>
      </c>
      <c r="G409" s="3" t="s">
        <v>870</v>
      </c>
      <c r="H409" s="38">
        <v>2019</v>
      </c>
      <c r="I409" s="43" t="s">
        <v>2</v>
      </c>
    </row>
    <row r="410" spans="2:9" x14ac:dyDescent="0.25">
      <c r="B410" s="2" t="s">
        <v>416</v>
      </c>
      <c r="C410" s="2">
        <v>5</v>
      </c>
      <c r="D410" s="2" t="s">
        <v>858</v>
      </c>
      <c r="E410" s="21">
        <v>2019</v>
      </c>
      <c r="F410" s="3">
        <v>27</v>
      </c>
      <c r="G410" s="3" t="s">
        <v>870</v>
      </c>
      <c r="H410" s="38">
        <v>2019</v>
      </c>
      <c r="I410" s="43" t="s">
        <v>2</v>
      </c>
    </row>
    <row r="411" spans="2:9" x14ac:dyDescent="0.25">
      <c r="B411" s="2" t="s">
        <v>417</v>
      </c>
      <c r="C411" s="2">
        <v>6</v>
      </c>
      <c r="D411" s="2" t="s">
        <v>858</v>
      </c>
      <c r="E411" s="21">
        <v>2019</v>
      </c>
      <c r="F411" s="3">
        <v>25</v>
      </c>
      <c r="G411" s="3" t="s">
        <v>899</v>
      </c>
      <c r="H411" s="38">
        <v>2019</v>
      </c>
      <c r="I411" s="43" t="s">
        <v>2</v>
      </c>
    </row>
    <row r="412" spans="2:9" x14ac:dyDescent="0.25">
      <c r="B412" s="2" t="s">
        <v>418</v>
      </c>
      <c r="C412" s="2">
        <v>7</v>
      </c>
      <c r="D412" s="2" t="s">
        <v>858</v>
      </c>
      <c r="E412" s="21">
        <v>2019</v>
      </c>
      <c r="F412" s="3">
        <v>15</v>
      </c>
      <c r="G412" s="3" t="s">
        <v>870</v>
      </c>
      <c r="H412" s="38">
        <v>2019</v>
      </c>
      <c r="I412" s="43" t="s">
        <v>2</v>
      </c>
    </row>
    <row r="413" spans="2:9" x14ac:dyDescent="0.25">
      <c r="B413" s="2" t="s">
        <v>419</v>
      </c>
      <c r="C413" s="2">
        <v>7</v>
      </c>
      <c r="D413" s="2" t="s">
        <v>858</v>
      </c>
      <c r="E413" s="21">
        <v>2019</v>
      </c>
      <c r="F413" s="3">
        <v>2</v>
      </c>
      <c r="G413" s="3" t="s">
        <v>858</v>
      </c>
      <c r="H413" s="38">
        <v>2019</v>
      </c>
      <c r="I413" s="43" t="s">
        <v>2</v>
      </c>
    </row>
    <row r="414" spans="2:9" x14ac:dyDescent="0.25">
      <c r="B414" s="2" t="s">
        <v>420</v>
      </c>
      <c r="C414" s="2">
        <v>8</v>
      </c>
      <c r="D414" s="2" t="s">
        <v>858</v>
      </c>
      <c r="E414" s="21">
        <v>2019</v>
      </c>
      <c r="F414" s="3">
        <v>1</v>
      </c>
      <c r="G414" s="3" t="s">
        <v>856</v>
      </c>
      <c r="H414" s="38">
        <v>1968</v>
      </c>
      <c r="I414" s="43" t="s">
        <v>3</v>
      </c>
    </row>
    <row r="415" spans="2:9" x14ac:dyDescent="0.25">
      <c r="B415" s="2" t="s">
        <v>421</v>
      </c>
      <c r="C415" s="2">
        <v>11</v>
      </c>
      <c r="D415" s="2" t="s">
        <v>858</v>
      </c>
      <c r="E415" s="21">
        <v>2019</v>
      </c>
      <c r="F415" s="3">
        <v>13</v>
      </c>
      <c r="G415" s="3" t="s">
        <v>899</v>
      </c>
      <c r="H415" s="38">
        <v>2019</v>
      </c>
      <c r="I415" s="43" t="s">
        <v>3</v>
      </c>
    </row>
    <row r="416" spans="2:9" x14ac:dyDescent="0.25">
      <c r="B416" s="2" t="s">
        <v>422</v>
      </c>
      <c r="C416" s="2">
        <v>11</v>
      </c>
      <c r="D416" s="2" t="s">
        <v>858</v>
      </c>
      <c r="E416" s="21">
        <v>2019</v>
      </c>
      <c r="F416" s="3">
        <v>12</v>
      </c>
      <c r="G416" s="3" t="s">
        <v>861</v>
      </c>
      <c r="H416" s="38">
        <v>2014</v>
      </c>
      <c r="I416" s="43" t="s">
        <v>2</v>
      </c>
    </row>
    <row r="417" spans="2:9" x14ac:dyDescent="0.25">
      <c r="B417" s="2" t="s">
        <v>423</v>
      </c>
      <c r="C417" s="2">
        <v>12</v>
      </c>
      <c r="D417" s="2" t="s">
        <v>858</v>
      </c>
      <c r="E417" s="21">
        <v>2019</v>
      </c>
      <c r="F417" s="3">
        <v>9</v>
      </c>
      <c r="G417" s="3" t="s">
        <v>899</v>
      </c>
      <c r="H417" s="38">
        <v>2019</v>
      </c>
      <c r="I417" s="43" t="s">
        <v>2</v>
      </c>
    </row>
    <row r="418" spans="2:9" x14ac:dyDescent="0.25">
      <c r="B418" s="2" t="s">
        <v>424</v>
      </c>
      <c r="C418" s="2">
        <v>13</v>
      </c>
      <c r="D418" s="2" t="s">
        <v>858</v>
      </c>
      <c r="E418" s="21">
        <v>2019</v>
      </c>
      <c r="F418" s="3">
        <v>5</v>
      </c>
      <c r="G418" s="3" t="s">
        <v>864</v>
      </c>
      <c r="H418" s="38">
        <v>2016</v>
      </c>
      <c r="I418" s="43" t="s">
        <v>3</v>
      </c>
    </row>
    <row r="419" spans="2:9" x14ac:dyDescent="0.25">
      <c r="B419" s="2" t="s">
        <v>425</v>
      </c>
      <c r="C419" s="2">
        <v>13</v>
      </c>
      <c r="D419" s="2" t="s">
        <v>858</v>
      </c>
      <c r="E419" s="21">
        <v>2019</v>
      </c>
      <c r="F419" s="3">
        <v>25</v>
      </c>
      <c r="G419" s="3" t="s">
        <v>867</v>
      </c>
      <c r="H419" s="38">
        <v>2019</v>
      </c>
      <c r="I419" s="43" t="s">
        <v>3</v>
      </c>
    </row>
    <row r="420" spans="2:9" x14ac:dyDescent="0.25">
      <c r="B420" s="2" t="s">
        <v>426</v>
      </c>
      <c r="C420" s="2">
        <v>14</v>
      </c>
      <c r="D420" s="2" t="s">
        <v>858</v>
      </c>
      <c r="E420" s="21">
        <v>2019</v>
      </c>
      <c r="F420" s="3">
        <v>7</v>
      </c>
      <c r="G420" s="3" t="s">
        <v>858</v>
      </c>
      <c r="H420" s="38">
        <v>2019</v>
      </c>
      <c r="I420" s="43" t="s">
        <v>3</v>
      </c>
    </row>
    <row r="421" spans="2:9" x14ac:dyDescent="0.25">
      <c r="B421" s="2" t="s">
        <v>427</v>
      </c>
      <c r="C421" s="2">
        <v>14</v>
      </c>
      <c r="D421" s="2" t="s">
        <v>858</v>
      </c>
      <c r="E421" s="21">
        <v>2019</v>
      </c>
      <c r="F421" s="3">
        <v>7</v>
      </c>
      <c r="G421" s="3" t="s">
        <v>858</v>
      </c>
      <c r="H421" s="38">
        <v>2019</v>
      </c>
      <c r="I421" s="43" t="s">
        <v>3</v>
      </c>
    </row>
    <row r="422" spans="2:9" x14ac:dyDescent="0.25">
      <c r="B422" s="2" t="s">
        <v>428</v>
      </c>
      <c r="C422" s="2">
        <v>14</v>
      </c>
      <c r="D422" s="2" t="s">
        <v>858</v>
      </c>
      <c r="E422" s="21">
        <v>2019</v>
      </c>
      <c r="F422" s="3">
        <v>1</v>
      </c>
      <c r="G422" s="3" t="s">
        <v>858</v>
      </c>
      <c r="H422" s="38">
        <v>2019</v>
      </c>
      <c r="I422" s="43" t="s">
        <v>2</v>
      </c>
    </row>
    <row r="423" spans="2:9" x14ac:dyDescent="0.25">
      <c r="B423" s="2" t="s">
        <v>429</v>
      </c>
      <c r="C423" s="2">
        <v>15</v>
      </c>
      <c r="D423" s="2" t="s">
        <v>858</v>
      </c>
      <c r="E423" s="21">
        <v>2019</v>
      </c>
      <c r="F423" s="3">
        <v>30</v>
      </c>
      <c r="G423" s="3" t="s">
        <v>869</v>
      </c>
      <c r="H423" s="38">
        <v>2019</v>
      </c>
      <c r="I423" s="43" t="s">
        <v>3</v>
      </c>
    </row>
    <row r="424" spans="2:9" x14ac:dyDescent="0.25">
      <c r="B424" s="2" t="s">
        <v>430</v>
      </c>
      <c r="C424" s="2">
        <v>15</v>
      </c>
      <c r="D424" s="2" t="s">
        <v>858</v>
      </c>
      <c r="E424" s="21">
        <v>2019</v>
      </c>
      <c r="F424" s="3">
        <v>18</v>
      </c>
      <c r="G424" s="3" t="s">
        <v>899</v>
      </c>
      <c r="H424" s="38">
        <v>2019</v>
      </c>
      <c r="I424" s="43" t="s">
        <v>3</v>
      </c>
    </row>
    <row r="425" spans="2:9" x14ac:dyDescent="0.25">
      <c r="B425" s="2" t="s">
        <v>431</v>
      </c>
      <c r="C425" s="2">
        <v>15</v>
      </c>
      <c r="D425" s="2" t="s">
        <v>858</v>
      </c>
      <c r="E425" s="21">
        <v>2019</v>
      </c>
      <c r="F425" s="3">
        <v>17</v>
      </c>
      <c r="G425" s="3" t="s">
        <v>870</v>
      </c>
      <c r="H425" s="38">
        <v>2019</v>
      </c>
      <c r="I425" s="43" t="s">
        <v>3</v>
      </c>
    </row>
    <row r="426" spans="2:9" x14ac:dyDescent="0.25">
      <c r="B426" s="2" t="s">
        <v>432</v>
      </c>
      <c r="C426" s="2">
        <v>20</v>
      </c>
      <c r="D426" s="2" t="s">
        <v>858</v>
      </c>
      <c r="E426" s="21">
        <v>2019</v>
      </c>
      <c r="F426" s="3">
        <v>27</v>
      </c>
      <c r="G426" s="3" t="s">
        <v>899</v>
      </c>
      <c r="H426" s="38">
        <v>2019</v>
      </c>
      <c r="I426" s="43" t="s">
        <v>3</v>
      </c>
    </row>
    <row r="427" spans="2:9" x14ac:dyDescent="0.25">
      <c r="B427" s="2" t="s">
        <v>433</v>
      </c>
      <c r="C427" s="2">
        <v>21</v>
      </c>
      <c r="D427" s="2" t="s">
        <v>858</v>
      </c>
      <c r="E427" s="21">
        <v>2019</v>
      </c>
      <c r="F427" s="3">
        <v>15</v>
      </c>
      <c r="G427" s="3" t="s">
        <v>870</v>
      </c>
      <c r="H427" s="38">
        <v>2019</v>
      </c>
      <c r="I427" s="43" t="s">
        <v>3</v>
      </c>
    </row>
    <row r="428" spans="2:9" x14ac:dyDescent="0.25">
      <c r="B428" s="2" t="s">
        <v>434</v>
      </c>
      <c r="C428" s="2">
        <v>21</v>
      </c>
      <c r="D428" s="2" t="s">
        <v>858</v>
      </c>
      <c r="E428" s="21">
        <v>2019</v>
      </c>
      <c r="F428" s="3">
        <v>6</v>
      </c>
      <c r="G428" s="3" t="s">
        <v>870</v>
      </c>
      <c r="H428" s="38">
        <v>2019</v>
      </c>
      <c r="I428" s="43" t="s">
        <v>3</v>
      </c>
    </row>
    <row r="429" spans="2:9" x14ac:dyDescent="0.25">
      <c r="B429" s="2" t="s">
        <v>435</v>
      </c>
      <c r="C429" s="2">
        <v>26</v>
      </c>
      <c r="D429" s="2" t="s">
        <v>858</v>
      </c>
      <c r="E429" s="21">
        <v>2019</v>
      </c>
      <c r="F429" s="3">
        <v>6</v>
      </c>
      <c r="G429" s="3" t="s">
        <v>869</v>
      </c>
      <c r="H429" s="38">
        <v>2019</v>
      </c>
      <c r="I429" s="43" t="s">
        <v>3</v>
      </c>
    </row>
    <row r="430" spans="2:9" x14ac:dyDescent="0.25">
      <c r="B430" s="2" t="s">
        <v>436</v>
      </c>
      <c r="C430" s="2">
        <v>27</v>
      </c>
      <c r="D430" s="2" t="s">
        <v>858</v>
      </c>
      <c r="E430" s="21">
        <v>2019</v>
      </c>
      <c r="F430" s="3">
        <v>20</v>
      </c>
      <c r="G430" s="3" t="s">
        <v>858</v>
      </c>
      <c r="H430" s="38">
        <v>2019</v>
      </c>
      <c r="I430" s="43" t="s">
        <v>3</v>
      </c>
    </row>
    <row r="431" spans="2:9" x14ac:dyDescent="0.25">
      <c r="B431" s="2" t="s">
        <v>437</v>
      </c>
      <c r="C431" s="2">
        <v>27</v>
      </c>
      <c r="D431" s="2" t="s">
        <v>858</v>
      </c>
      <c r="E431" s="21">
        <v>2019</v>
      </c>
      <c r="F431" s="3">
        <v>13</v>
      </c>
      <c r="G431" s="3" t="s">
        <v>870</v>
      </c>
      <c r="H431" s="38">
        <v>2019</v>
      </c>
      <c r="I431" s="43" t="s">
        <v>3</v>
      </c>
    </row>
    <row r="432" spans="2:9" x14ac:dyDescent="0.25">
      <c r="B432" s="2" t="s">
        <v>438</v>
      </c>
      <c r="C432" s="2">
        <v>28</v>
      </c>
      <c r="D432" s="2" t="s">
        <v>858</v>
      </c>
      <c r="E432" s="21">
        <v>2019</v>
      </c>
      <c r="F432" s="3">
        <v>5</v>
      </c>
      <c r="G432" s="3" t="s">
        <v>868</v>
      </c>
      <c r="H432" s="38">
        <v>2017</v>
      </c>
      <c r="I432" s="43" t="s">
        <v>3</v>
      </c>
    </row>
    <row r="433" spans="2:9" x14ac:dyDescent="0.25">
      <c r="B433" s="2" t="s">
        <v>439</v>
      </c>
      <c r="C433" s="3">
        <v>2</v>
      </c>
      <c r="D433" s="3" t="s">
        <v>857</v>
      </c>
      <c r="E433" s="21">
        <v>2019</v>
      </c>
      <c r="F433" s="3">
        <v>11</v>
      </c>
      <c r="G433" s="3" t="s">
        <v>858</v>
      </c>
      <c r="H433" s="38">
        <v>2019</v>
      </c>
      <c r="I433" s="43" t="s">
        <v>2</v>
      </c>
    </row>
    <row r="434" spans="2:9" x14ac:dyDescent="0.25">
      <c r="B434" s="2" t="s">
        <v>440</v>
      </c>
      <c r="C434" s="3">
        <v>3</v>
      </c>
      <c r="D434" s="3" t="s">
        <v>857</v>
      </c>
      <c r="E434" s="21">
        <v>2019</v>
      </c>
      <c r="F434" s="3">
        <v>30</v>
      </c>
      <c r="G434" s="3" t="s">
        <v>858</v>
      </c>
      <c r="H434" s="38">
        <v>2019</v>
      </c>
      <c r="I434" s="43" t="s">
        <v>3</v>
      </c>
    </row>
    <row r="435" spans="2:9" x14ac:dyDescent="0.25">
      <c r="B435" s="2" t="s">
        <v>441</v>
      </c>
      <c r="C435" s="3">
        <v>4</v>
      </c>
      <c r="D435" s="3" t="s">
        <v>857</v>
      </c>
      <c r="E435" s="21">
        <v>2019</v>
      </c>
      <c r="F435" s="3">
        <v>6</v>
      </c>
      <c r="G435" s="3" t="s">
        <v>858</v>
      </c>
      <c r="H435" s="38">
        <v>2015</v>
      </c>
      <c r="I435" s="43" t="s">
        <v>3</v>
      </c>
    </row>
    <row r="436" spans="2:9" x14ac:dyDescent="0.25">
      <c r="B436" s="2" t="s">
        <v>442</v>
      </c>
      <c r="C436" s="3">
        <v>4</v>
      </c>
      <c r="D436" s="3" t="s">
        <v>857</v>
      </c>
      <c r="E436" s="21">
        <v>2019</v>
      </c>
      <c r="F436" s="3">
        <v>2</v>
      </c>
      <c r="G436" s="3" t="s">
        <v>866</v>
      </c>
      <c r="H436" s="38">
        <v>2019</v>
      </c>
      <c r="I436" s="43" t="s">
        <v>2</v>
      </c>
    </row>
    <row r="437" spans="2:9" x14ac:dyDescent="0.25">
      <c r="B437" s="2" t="s">
        <v>443</v>
      </c>
      <c r="C437" s="3">
        <v>5</v>
      </c>
      <c r="D437" s="3" t="s">
        <v>857</v>
      </c>
      <c r="E437" s="21">
        <v>2019</v>
      </c>
      <c r="F437" s="3">
        <v>3</v>
      </c>
      <c r="G437" s="3" t="s">
        <v>864</v>
      </c>
      <c r="H437" s="38">
        <v>2012</v>
      </c>
      <c r="I437" s="43" t="s">
        <v>3</v>
      </c>
    </row>
    <row r="438" spans="2:9" x14ac:dyDescent="0.25">
      <c r="B438" s="2" t="s">
        <v>444</v>
      </c>
      <c r="C438" s="3">
        <v>5</v>
      </c>
      <c r="D438" s="3" t="s">
        <v>857</v>
      </c>
      <c r="E438" s="21">
        <v>2019</v>
      </c>
      <c r="F438" s="3">
        <v>27</v>
      </c>
      <c r="G438" s="3" t="s">
        <v>870</v>
      </c>
      <c r="H438" s="38">
        <v>2019</v>
      </c>
      <c r="I438" s="43" t="s">
        <v>2</v>
      </c>
    </row>
    <row r="439" spans="2:9" x14ac:dyDescent="0.25">
      <c r="B439" s="2" t="s">
        <v>445</v>
      </c>
      <c r="C439" s="3">
        <v>11</v>
      </c>
      <c r="D439" s="3" t="s">
        <v>857</v>
      </c>
      <c r="E439" s="21">
        <v>2019</v>
      </c>
      <c r="F439" s="3">
        <v>1</v>
      </c>
      <c r="G439" s="3" t="s">
        <v>858</v>
      </c>
      <c r="H439" s="38">
        <v>2019</v>
      </c>
      <c r="I439" s="43" t="s">
        <v>2</v>
      </c>
    </row>
    <row r="440" spans="2:9" x14ac:dyDescent="0.25">
      <c r="B440" s="2" t="s">
        <v>446</v>
      </c>
      <c r="C440" s="3">
        <v>11</v>
      </c>
      <c r="D440" s="3" t="s">
        <v>857</v>
      </c>
      <c r="E440" s="21">
        <v>2019</v>
      </c>
      <c r="F440" s="3">
        <v>27</v>
      </c>
      <c r="G440" s="3" t="s">
        <v>858</v>
      </c>
      <c r="H440" s="38">
        <v>2019</v>
      </c>
      <c r="I440" s="43" t="s">
        <v>3</v>
      </c>
    </row>
    <row r="441" spans="2:9" x14ac:dyDescent="0.25">
      <c r="B441" s="2" t="s">
        <v>447</v>
      </c>
      <c r="C441" s="3">
        <v>12</v>
      </c>
      <c r="D441" s="3" t="s">
        <v>857</v>
      </c>
      <c r="E441" s="21">
        <v>2019</v>
      </c>
      <c r="F441" s="3">
        <v>12</v>
      </c>
      <c r="G441" s="3" t="s">
        <v>858</v>
      </c>
      <c r="H441" s="38">
        <v>2019</v>
      </c>
      <c r="I441" s="43" t="s">
        <v>2</v>
      </c>
    </row>
    <row r="442" spans="2:9" x14ac:dyDescent="0.25">
      <c r="B442" s="2" t="s">
        <v>448</v>
      </c>
      <c r="C442" s="3">
        <v>13</v>
      </c>
      <c r="D442" s="3" t="s">
        <v>857</v>
      </c>
      <c r="E442" s="21">
        <v>2019</v>
      </c>
      <c r="F442" s="3">
        <v>27</v>
      </c>
      <c r="G442" s="3" t="s">
        <v>858</v>
      </c>
      <c r="H442" s="38">
        <v>2019</v>
      </c>
      <c r="I442" s="43" t="s">
        <v>3</v>
      </c>
    </row>
    <row r="443" spans="2:9" x14ac:dyDescent="0.25">
      <c r="B443" s="2" t="s">
        <v>449</v>
      </c>
      <c r="C443" s="3">
        <v>13</v>
      </c>
      <c r="D443" s="3" t="s">
        <v>857</v>
      </c>
      <c r="E443" s="21">
        <v>2019</v>
      </c>
      <c r="F443" s="3">
        <v>7</v>
      </c>
      <c r="G443" s="3" t="s">
        <v>857</v>
      </c>
      <c r="H443" s="38">
        <v>2014</v>
      </c>
      <c r="I443" s="43" t="s">
        <v>3</v>
      </c>
    </row>
    <row r="444" spans="2:9" x14ac:dyDescent="0.25">
      <c r="B444" s="2" t="s">
        <v>450</v>
      </c>
      <c r="C444" s="3">
        <v>13</v>
      </c>
      <c r="D444" s="3" t="s">
        <v>857</v>
      </c>
      <c r="E444" s="21">
        <v>2019</v>
      </c>
      <c r="F444" s="3">
        <v>26</v>
      </c>
      <c r="G444" s="3" t="s">
        <v>899</v>
      </c>
      <c r="H444" s="38">
        <v>2012</v>
      </c>
      <c r="I444" s="43" t="s">
        <v>2</v>
      </c>
    </row>
    <row r="445" spans="2:9" x14ac:dyDescent="0.25">
      <c r="B445" s="2" t="s">
        <v>451</v>
      </c>
      <c r="C445" s="3">
        <v>16</v>
      </c>
      <c r="D445" s="3" t="s">
        <v>857</v>
      </c>
      <c r="E445" s="21">
        <v>2019</v>
      </c>
      <c r="F445" s="3">
        <v>18</v>
      </c>
      <c r="G445" s="3" t="s">
        <v>870</v>
      </c>
      <c r="H445" s="38">
        <v>2019</v>
      </c>
      <c r="I445" s="43" t="s">
        <v>2</v>
      </c>
    </row>
    <row r="446" spans="2:9" x14ac:dyDescent="0.25">
      <c r="B446" s="2" t="s">
        <v>452</v>
      </c>
      <c r="C446" s="3">
        <v>16</v>
      </c>
      <c r="D446" s="3" t="s">
        <v>857</v>
      </c>
      <c r="E446" s="21">
        <v>2019</v>
      </c>
      <c r="F446" s="3">
        <v>9</v>
      </c>
      <c r="G446" s="3" t="s">
        <v>858</v>
      </c>
      <c r="H446" s="38">
        <v>2019</v>
      </c>
      <c r="I446" s="43" t="s">
        <v>3</v>
      </c>
    </row>
    <row r="447" spans="2:9" x14ac:dyDescent="0.25">
      <c r="B447" s="2" t="s">
        <v>453</v>
      </c>
      <c r="C447" s="3">
        <v>16</v>
      </c>
      <c r="D447" s="3" t="s">
        <v>857</v>
      </c>
      <c r="E447" s="21">
        <v>2019</v>
      </c>
      <c r="F447" s="3">
        <v>4</v>
      </c>
      <c r="G447" s="3" t="s">
        <v>857</v>
      </c>
      <c r="H447" s="40">
        <v>2019</v>
      </c>
      <c r="I447" s="43" t="s">
        <v>2</v>
      </c>
    </row>
    <row r="448" spans="2:9" x14ac:dyDescent="0.25">
      <c r="B448" s="2" t="s">
        <v>454</v>
      </c>
      <c r="C448" s="3">
        <v>17</v>
      </c>
      <c r="D448" s="3" t="s">
        <v>857</v>
      </c>
      <c r="E448" s="21">
        <v>2019</v>
      </c>
      <c r="F448" s="3">
        <v>13</v>
      </c>
      <c r="G448" s="3" t="s">
        <v>870</v>
      </c>
      <c r="H448" s="38">
        <v>2017</v>
      </c>
      <c r="I448" s="43" t="s">
        <v>2</v>
      </c>
    </row>
    <row r="449" spans="2:9" x14ac:dyDescent="0.25">
      <c r="B449" s="2" t="s">
        <v>455</v>
      </c>
      <c r="C449" s="3">
        <v>17</v>
      </c>
      <c r="D449" s="3" t="s">
        <v>857</v>
      </c>
      <c r="E449" s="21">
        <v>2019</v>
      </c>
      <c r="F449" s="3">
        <v>16</v>
      </c>
      <c r="G449" s="3" t="s">
        <v>870</v>
      </c>
      <c r="H449" s="38">
        <v>2019</v>
      </c>
      <c r="I449" s="43" t="s">
        <v>2</v>
      </c>
    </row>
    <row r="450" spans="2:9" x14ac:dyDescent="0.25">
      <c r="B450" s="2" t="s">
        <v>456</v>
      </c>
      <c r="C450" s="3">
        <v>18</v>
      </c>
      <c r="D450" s="3" t="s">
        <v>857</v>
      </c>
      <c r="E450" s="21">
        <v>2019</v>
      </c>
      <c r="F450" s="3">
        <v>12</v>
      </c>
      <c r="G450" s="3" t="s">
        <v>857</v>
      </c>
      <c r="H450" s="38">
        <v>2019</v>
      </c>
      <c r="I450" s="43" t="s">
        <v>2</v>
      </c>
    </row>
    <row r="451" spans="2:9" x14ac:dyDescent="0.25">
      <c r="B451" s="2" t="s">
        <v>457</v>
      </c>
      <c r="C451" s="3">
        <v>18</v>
      </c>
      <c r="D451" s="3" t="s">
        <v>857</v>
      </c>
      <c r="E451" s="21">
        <v>2019</v>
      </c>
      <c r="F451" s="3">
        <v>5</v>
      </c>
      <c r="G451" s="3" t="s">
        <v>858</v>
      </c>
      <c r="H451" s="38">
        <v>2019</v>
      </c>
      <c r="I451" s="43" t="s">
        <v>3</v>
      </c>
    </row>
    <row r="452" spans="2:9" x14ac:dyDescent="0.25">
      <c r="B452" s="2" t="s">
        <v>458</v>
      </c>
      <c r="C452" s="3">
        <v>18</v>
      </c>
      <c r="D452" s="3" t="s">
        <v>857</v>
      </c>
      <c r="E452" s="21">
        <v>2019</v>
      </c>
      <c r="F452" s="3">
        <v>30</v>
      </c>
      <c r="G452" s="3" t="s">
        <v>899</v>
      </c>
      <c r="H452" s="38">
        <v>2019</v>
      </c>
      <c r="I452" s="43" t="s">
        <v>3</v>
      </c>
    </row>
    <row r="453" spans="2:9" x14ac:dyDescent="0.25">
      <c r="B453" s="2" t="s">
        <v>459</v>
      </c>
      <c r="C453" s="3">
        <v>18</v>
      </c>
      <c r="D453" s="3" t="s">
        <v>857</v>
      </c>
      <c r="E453" s="21">
        <v>2019</v>
      </c>
      <c r="F453" s="3">
        <v>10</v>
      </c>
      <c r="G453" s="3" t="s">
        <v>867</v>
      </c>
      <c r="H453" s="38">
        <v>2019</v>
      </c>
      <c r="I453" s="43" t="s">
        <v>2</v>
      </c>
    </row>
    <row r="454" spans="2:9" x14ac:dyDescent="0.25">
      <c r="B454" s="2" t="s">
        <v>460</v>
      </c>
      <c r="C454" s="3">
        <v>18</v>
      </c>
      <c r="D454" s="3" t="s">
        <v>857</v>
      </c>
      <c r="E454" s="21">
        <v>2019</v>
      </c>
      <c r="F454" s="3">
        <v>10</v>
      </c>
      <c r="G454" s="3" t="s">
        <v>867</v>
      </c>
      <c r="H454" s="38">
        <v>2019</v>
      </c>
      <c r="I454" s="43" t="s">
        <v>2</v>
      </c>
    </row>
    <row r="455" spans="2:9" x14ac:dyDescent="0.25">
      <c r="B455" s="2" t="s">
        <v>461</v>
      </c>
      <c r="C455" s="3">
        <v>18</v>
      </c>
      <c r="D455" s="3" t="s">
        <v>857</v>
      </c>
      <c r="E455" s="21">
        <v>2019</v>
      </c>
      <c r="F455" s="3">
        <v>28</v>
      </c>
      <c r="G455" s="3" t="s">
        <v>870</v>
      </c>
      <c r="H455" s="38">
        <v>2019</v>
      </c>
      <c r="I455" s="43" t="s">
        <v>3</v>
      </c>
    </row>
    <row r="456" spans="2:9" x14ac:dyDescent="0.25">
      <c r="B456" s="2" t="s">
        <v>462</v>
      </c>
      <c r="C456" s="3">
        <v>19</v>
      </c>
      <c r="D456" s="3" t="s">
        <v>857</v>
      </c>
      <c r="E456" s="21">
        <v>2019</v>
      </c>
      <c r="F456" s="3">
        <v>1</v>
      </c>
      <c r="G456" s="3" t="s">
        <v>864</v>
      </c>
      <c r="H456" s="38">
        <v>2019</v>
      </c>
      <c r="I456" s="43" t="s">
        <v>2</v>
      </c>
    </row>
    <row r="457" spans="2:9" x14ac:dyDescent="0.25">
      <c r="B457" s="2" t="s">
        <v>463</v>
      </c>
      <c r="C457" s="3">
        <v>19</v>
      </c>
      <c r="D457" s="3" t="s">
        <v>857</v>
      </c>
      <c r="E457" s="21">
        <v>2019</v>
      </c>
      <c r="F457" s="3">
        <v>27</v>
      </c>
      <c r="G457" s="3" t="s">
        <v>861</v>
      </c>
      <c r="H457" s="38">
        <v>2018</v>
      </c>
      <c r="I457" s="43" t="s">
        <v>2</v>
      </c>
    </row>
    <row r="458" spans="2:9" x14ac:dyDescent="0.25">
      <c r="B458" s="2" t="s">
        <v>464</v>
      </c>
      <c r="C458" s="3">
        <v>19</v>
      </c>
      <c r="D458" s="3" t="s">
        <v>857</v>
      </c>
      <c r="E458" s="21">
        <v>2019</v>
      </c>
      <c r="F458" s="3">
        <v>8</v>
      </c>
      <c r="G458" s="3" t="s">
        <v>864</v>
      </c>
      <c r="H458" s="38">
        <v>2016</v>
      </c>
      <c r="I458" s="43" t="s">
        <v>3</v>
      </c>
    </row>
    <row r="459" spans="2:9" x14ac:dyDescent="0.25">
      <c r="B459" s="2" t="s">
        <v>465</v>
      </c>
      <c r="C459" s="3">
        <v>20</v>
      </c>
      <c r="D459" s="3" t="s">
        <v>857</v>
      </c>
      <c r="E459" s="21">
        <v>2019</v>
      </c>
      <c r="F459" s="3">
        <v>3</v>
      </c>
      <c r="G459" s="3" t="s">
        <v>858</v>
      </c>
      <c r="H459" s="38">
        <v>2019</v>
      </c>
      <c r="I459" s="43" t="s">
        <v>2</v>
      </c>
    </row>
    <row r="460" spans="2:9" x14ac:dyDescent="0.25">
      <c r="B460" s="2" t="s">
        <v>466</v>
      </c>
      <c r="C460" s="3">
        <v>20</v>
      </c>
      <c r="D460" s="3" t="s">
        <v>857</v>
      </c>
      <c r="E460" s="21">
        <v>2019</v>
      </c>
      <c r="F460" s="3">
        <v>6</v>
      </c>
      <c r="G460" s="3" t="s">
        <v>899</v>
      </c>
      <c r="H460" s="38">
        <v>2019</v>
      </c>
      <c r="I460" s="43" t="s">
        <v>3</v>
      </c>
    </row>
    <row r="461" spans="2:9" x14ac:dyDescent="0.25">
      <c r="B461" s="2" t="s">
        <v>467</v>
      </c>
      <c r="C461" s="3">
        <v>20</v>
      </c>
      <c r="D461" s="3" t="s">
        <v>857</v>
      </c>
      <c r="E461" s="21">
        <v>2019</v>
      </c>
      <c r="F461" s="3">
        <v>29</v>
      </c>
      <c r="G461" s="3" t="s">
        <v>870</v>
      </c>
      <c r="H461" s="38">
        <v>2018</v>
      </c>
      <c r="I461" s="43" t="s">
        <v>3</v>
      </c>
    </row>
    <row r="462" spans="2:9" x14ac:dyDescent="0.25">
      <c r="B462" s="2" t="s">
        <v>468</v>
      </c>
      <c r="C462" s="3">
        <v>23</v>
      </c>
      <c r="D462" s="3" t="s">
        <v>857</v>
      </c>
      <c r="E462" s="21">
        <v>2019</v>
      </c>
      <c r="F462" s="3">
        <v>2</v>
      </c>
      <c r="G462" s="3" t="s">
        <v>869</v>
      </c>
      <c r="H462" s="38">
        <v>2019</v>
      </c>
      <c r="I462" s="43" t="s">
        <v>2</v>
      </c>
    </row>
    <row r="463" spans="2:9" x14ac:dyDescent="0.25">
      <c r="B463" s="2" t="s">
        <v>469</v>
      </c>
      <c r="C463" s="3">
        <v>27</v>
      </c>
      <c r="D463" s="3" t="s">
        <v>857</v>
      </c>
      <c r="E463" s="21">
        <v>2019</v>
      </c>
      <c r="F463" s="3">
        <v>1</v>
      </c>
      <c r="G463" s="3" t="s">
        <v>858</v>
      </c>
      <c r="H463" s="38">
        <v>2019</v>
      </c>
      <c r="I463" s="43" t="s">
        <v>2</v>
      </c>
    </row>
    <row r="464" spans="2:9" x14ac:dyDescent="0.25">
      <c r="B464" s="2" t="s">
        <v>470</v>
      </c>
      <c r="C464" s="3">
        <v>27</v>
      </c>
      <c r="D464" s="3" t="s">
        <v>857</v>
      </c>
      <c r="E464" s="21">
        <v>2019</v>
      </c>
      <c r="F464" s="3">
        <v>12</v>
      </c>
      <c r="G464" s="3" t="s">
        <v>857</v>
      </c>
      <c r="H464" s="38">
        <v>2019</v>
      </c>
      <c r="I464" s="43" t="s">
        <v>2</v>
      </c>
    </row>
    <row r="465" spans="2:9" x14ac:dyDescent="0.25">
      <c r="B465" s="2" t="s">
        <v>471</v>
      </c>
      <c r="C465" s="3">
        <v>30</v>
      </c>
      <c r="D465" s="3" t="s">
        <v>857</v>
      </c>
      <c r="E465" s="21">
        <v>2019</v>
      </c>
      <c r="F465" s="3">
        <v>21</v>
      </c>
      <c r="G465" s="3" t="s">
        <v>858</v>
      </c>
      <c r="H465" s="38">
        <v>2019</v>
      </c>
      <c r="I465" s="43" t="s">
        <v>2</v>
      </c>
    </row>
    <row r="466" spans="2:9" x14ac:dyDescent="0.25">
      <c r="B466" s="2" t="s">
        <v>472</v>
      </c>
      <c r="C466" s="3">
        <v>30</v>
      </c>
      <c r="D466" s="3" t="s">
        <v>857</v>
      </c>
      <c r="E466" s="21">
        <v>2019</v>
      </c>
      <c r="F466" s="3">
        <v>28</v>
      </c>
      <c r="G466" s="3" t="s">
        <v>858</v>
      </c>
      <c r="H466" s="38">
        <v>2019</v>
      </c>
      <c r="I466" s="43" t="s">
        <v>3</v>
      </c>
    </row>
  </sheetData>
  <protectedRanges>
    <protectedRange algorithmName="SHA-512" hashValue="cgpRj/krUarnD3gTTDFu613ZqKGadI8zGVudXIajKfUIbyE4y+aL/KTqt/86mFbjgpNg+QDNA/KcVrkq5zIliA==" saltValue="UeLTtRdYkEfhujfeXXi1pA==" spinCount="100000" sqref="L4:N17 Q4:S14 V4:X14 AA4:AC16 AF4:AH16 AK4:AM15 AP4:AR15 L23:N32 Q23:S34 V23:X37 AA23:AC37 AF23:AH37" name="ENERO"/>
  </protectedRanges>
  <mergeCells count="26">
    <mergeCell ref="U38:W38"/>
    <mergeCell ref="Z21:AB21"/>
    <mergeCell ref="Z38:AB38"/>
    <mergeCell ref="AE21:AG21"/>
    <mergeCell ref="AE38:AG38"/>
    <mergeCell ref="C1:E1"/>
    <mergeCell ref="F1:H1"/>
    <mergeCell ref="K2:M2"/>
    <mergeCell ref="K18:M18"/>
    <mergeCell ref="P2:R2"/>
    <mergeCell ref="P15:R15"/>
    <mergeCell ref="P35:R35"/>
    <mergeCell ref="U21:W21"/>
    <mergeCell ref="AO2:AQ2"/>
    <mergeCell ref="AO16:AQ16"/>
    <mergeCell ref="K21:M21"/>
    <mergeCell ref="K33:M33"/>
    <mergeCell ref="P21:R21"/>
    <mergeCell ref="U2:W2"/>
    <mergeCell ref="U15:W15"/>
    <mergeCell ref="Z2:AB2"/>
    <mergeCell ref="Z17:AB17"/>
    <mergeCell ref="AE2:AG2"/>
    <mergeCell ref="AE17:AG17"/>
    <mergeCell ref="AJ2:AL2"/>
    <mergeCell ref="AJ16:AL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69"/>
  <sheetViews>
    <sheetView tabSelected="1" topLeftCell="A72" workbookViewId="0">
      <selection activeCell="F80" sqref="F80"/>
    </sheetView>
  </sheetViews>
  <sheetFormatPr baseColWidth="10" defaultRowHeight="15" x14ac:dyDescent="0.25"/>
  <cols>
    <col min="10" max="10" width="4" customWidth="1"/>
    <col min="15" max="15" width="5.140625" customWidth="1"/>
    <col min="20" max="20" width="5.140625" customWidth="1"/>
    <col min="25" max="25" width="4.7109375" customWidth="1"/>
    <col min="30" max="30" width="5.85546875" customWidth="1"/>
  </cols>
  <sheetData>
    <row r="1" spans="2:34" x14ac:dyDescent="0.25">
      <c r="B1" s="6" t="s">
        <v>0</v>
      </c>
      <c r="C1" s="49" t="s">
        <v>1</v>
      </c>
      <c r="D1" s="50"/>
      <c r="E1" s="51"/>
      <c r="F1" s="52" t="s">
        <v>8</v>
      </c>
      <c r="G1" s="53"/>
      <c r="H1" s="54"/>
      <c r="I1" s="13" t="s">
        <v>4</v>
      </c>
    </row>
    <row r="2" spans="2:34" x14ac:dyDescent="0.25">
      <c r="B2" s="15"/>
      <c r="C2" s="15" t="s">
        <v>853</v>
      </c>
      <c r="D2" s="15" t="s">
        <v>854</v>
      </c>
      <c r="E2" s="16" t="s">
        <v>855</v>
      </c>
      <c r="F2" s="14" t="s">
        <v>853</v>
      </c>
      <c r="G2" s="14" t="s">
        <v>854</v>
      </c>
      <c r="H2" s="12" t="s">
        <v>855</v>
      </c>
      <c r="I2" s="12" t="s">
        <v>862</v>
      </c>
      <c r="K2" s="47" t="s">
        <v>913</v>
      </c>
      <c r="L2" s="47"/>
      <c r="M2" s="47"/>
      <c r="N2" s="22" t="s">
        <v>859</v>
      </c>
      <c r="P2" s="47" t="s">
        <v>914</v>
      </c>
      <c r="Q2" s="47"/>
      <c r="R2" s="47"/>
      <c r="S2" s="22" t="s">
        <v>859</v>
      </c>
      <c r="U2" s="47" t="s">
        <v>915</v>
      </c>
      <c r="V2" s="47"/>
      <c r="W2" s="47"/>
      <c r="X2" s="22" t="s">
        <v>859</v>
      </c>
      <c r="Z2" s="47" t="s">
        <v>916</v>
      </c>
      <c r="AA2" s="47"/>
      <c r="AB2" s="47"/>
      <c r="AC2" s="22" t="s">
        <v>859</v>
      </c>
      <c r="AE2" s="47" t="s">
        <v>917</v>
      </c>
      <c r="AF2" s="47"/>
      <c r="AG2" s="47"/>
      <c r="AH2" s="22" t="s">
        <v>859</v>
      </c>
    </row>
    <row r="3" spans="2:34" x14ac:dyDescent="0.25">
      <c r="B3" s="2" t="s">
        <v>9</v>
      </c>
      <c r="C3" s="2">
        <v>6</v>
      </c>
      <c r="D3" s="2" t="s">
        <v>856</v>
      </c>
      <c r="E3" s="38">
        <v>2020</v>
      </c>
      <c r="F3" s="2">
        <v>3</v>
      </c>
      <c r="G3" s="2" t="s">
        <v>856</v>
      </c>
      <c r="H3" s="38">
        <v>2020</v>
      </c>
      <c r="I3" s="43" t="s">
        <v>2</v>
      </c>
      <c r="K3" s="23" t="s">
        <v>860</v>
      </c>
      <c r="L3" s="23" t="s">
        <v>3</v>
      </c>
      <c r="M3" s="23" t="s">
        <v>2</v>
      </c>
      <c r="N3" s="23" t="s">
        <v>862</v>
      </c>
      <c r="P3" s="23" t="s">
        <v>860</v>
      </c>
      <c r="Q3" s="23" t="s">
        <v>3</v>
      </c>
      <c r="R3" s="23" t="s">
        <v>2</v>
      </c>
      <c r="S3" s="23" t="s">
        <v>862</v>
      </c>
      <c r="U3" s="23" t="s">
        <v>860</v>
      </c>
      <c r="V3" s="23" t="s">
        <v>3</v>
      </c>
      <c r="W3" s="23" t="s">
        <v>2</v>
      </c>
      <c r="X3" s="23" t="s">
        <v>862</v>
      </c>
      <c r="Z3" s="23" t="s">
        <v>860</v>
      </c>
      <c r="AA3" s="23" t="s">
        <v>3</v>
      </c>
      <c r="AB3" s="23" t="s">
        <v>2</v>
      </c>
      <c r="AC3" s="23" t="s">
        <v>862</v>
      </c>
      <c r="AE3" s="23" t="s">
        <v>860</v>
      </c>
      <c r="AF3" s="23" t="s">
        <v>3</v>
      </c>
      <c r="AG3" s="23" t="s">
        <v>2</v>
      </c>
      <c r="AH3" s="23" t="s">
        <v>862</v>
      </c>
    </row>
    <row r="4" spans="2:34" x14ac:dyDescent="0.25">
      <c r="B4" s="2" t="s">
        <v>10</v>
      </c>
      <c r="C4" s="2">
        <v>6</v>
      </c>
      <c r="D4" s="2" t="s">
        <v>856</v>
      </c>
      <c r="E4" s="38">
        <v>2020</v>
      </c>
      <c r="F4" s="2">
        <v>24</v>
      </c>
      <c r="G4" s="2" t="s">
        <v>857</v>
      </c>
      <c r="H4" s="38">
        <v>2019</v>
      </c>
      <c r="I4" s="43" t="s">
        <v>3</v>
      </c>
      <c r="K4" s="18">
        <v>6</v>
      </c>
      <c r="L4" s="18">
        <f>COUNTIFS(C3:C569, "6",D3:D569,"ENERO", I3:I569, "HOMBRE")</f>
        <v>2</v>
      </c>
      <c r="M4" s="18">
        <f>COUNTIFS(C3:C569, "6",D3:D569,"ENERO", I3:I569, "MUJER")</f>
        <v>2</v>
      </c>
      <c r="N4" s="18">
        <f>SUM(L4:M4)</f>
        <v>4</v>
      </c>
      <c r="P4" s="18">
        <v>4</v>
      </c>
      <c r="Q4" s="18">
        <f>COUNTIFS(C3:C582, "4",D3:D582,"FEBRERO", I3:I582, "HOMBRE")</f>
        <v>1</v>
      </c>
      <c r="R4" s="18">
        <f>COUNTIFS(C3:C582, "4",D3:D582,"FEBRERO", I3:I582, "MUJER")</f>
        <v>0</v>
      </c>
      <c r="S4" s="18">
        <f>SUM(Q4:R4)</f>
        <v>1</v>
      </c>
      <c r="U4" s="18">
        <v>2</v>
      </c>
      <c r="V4" s="18">
        <f>COUNTIFS(C3:C596, "2",D3:D596,"MARZO", D3:D596, "HOMBRE")</f>
        <v>0</v>
      </c>
      <c r="W4" s="18">
        <f>COUNTIFS(C3:C596, "2",D3:D596,"MARZO", I3:I596, "MUJER")</f>
        <v>1</v>
      </c>
      <c r="X4" s="18">
        <f>SUM(V4:W4)</f>
        <v>1</v>
      </c>
      <c r="Z4" s="18">
        <v>1</v>
      </c>
      <c r="AA4" s="18">
        <f>COUNTIFS(C3:C606, "1",D3:D606,"ABRIL", I3:I606, "HOMBRE")</f>
        <v>0</v>
      </c>
      <c r="AB4" s="18">
        <f>COUNTIFS(C3:C606, "1",D3:D606,"ABRIL", I3:I606, "MUJER")</f>
        <v>2</v>
      </c>
      <c r="AC4" s="18">
        <f>SUM(AA4:AB4)</f>
        <v>2</v>
      </c>
      <c r="AE4" s="18">
        <v>4</v>
      </c>
      <c r="AF4" s="18">
        <f>COUNTIFS(C3:C613, "4",D3:D613,"MAYO", I3:I613, "HOMBRE")</f>
        <v>1</v>
      </c>
      <c r="AG4" s="18">
        <f>COUNTIFS(C3:C613, "4",D3:D613,"MAYO", I3:I613, "MUJER")</f>
        <v>1</v>
      </c>
      <c r="AH4" s="18">
        <f>SUM(AF4:AG4)</f>
        <v>2</v>
      </c>
    </row>
    <row r="5" spans="2:34" x14ac:dyDescent="0.25">
      <c r="B5" s="2" t="s">
        <v>11</v>
      </c>
      <c r="C5" s="2">
        <v>6</v>
      </c>
      <c r="D5" s="2" t="s">
        <v>856</v>
      </c>
      <c r="E5" s="38">
        <v>2020</v>
      </c>
      <c r="F5" s="2">
        <v>7</v>
      </c>
      <c r="G5" s="2" t="s">
        <v>856</v>
      </c>
      <c r="H5" s="38">
        <v>2017</v>
      </c>
      <c r="I5" s="43" t="s">
        <v>3</v>
      </c>
      <c r="K5" s="26">
        <v>7</v>
      </c>
      <c r="L5" s="18">
        <f>COUNTIFS(C3:C569, "7",D3:D569,"ENERO", I3:I569, "HOMBRE")</f>
        <v>1</v>
      </c>
      <c r="M5" s="18">
        <f>COUNTIFS(C3:C569, "7",D3:D569,"ENERO", I3:I569, "MUJER")</f>
        <v>0</v>
      </c>
      <c r="N5" s="18">
        <f t="shared" ref="N5:N8" si="0">SUM(L5:M5)</f>
        <v>1</v>
      </c>
      <c r="P5" s="26">
        <v>6</v>
      </c>
      <c r="Q5" s="18">
        <f>COUNTIFS(C3:C582, "6",D3:D582,"FEBRERO", I3:I582, "HOMBRE")</f>
        <v>0</v>
      </c>
      <c r="R5" s="18">
        <f>COUNTIFS(C3:C582, "6",D3:D582,"FEBRERO", I3:I582, "MUJER")</f>
        <v>1</v>
      </c>
      <c r="S5" s="18">
        <f t="shared" ref="S5:S14" si="1">SUM(Q5:R5)</f>
        <v>1</v>
      </c>
      <c r="U5" s="26">
        <v>3</v>
      </c>
      <c r="V5" s="18">
        <f>COUNTIFS(C3:C596, "3",D3:D596,"MARZO", D3:D596, "HOMBRE")</f>
        <v>0</v>
      </c>
      <c r="W5" s="18">
        <f>COUNTIFS(C3:C596, "3",D3:D596,"MARZO", I3:I596, "MUJER")</f>
        <v>2</v>
      </c>
      <c r="X5" s="18">
        <f t="shared" ref="X5:X13" si="2">SUM(V5:W5)</f>
        <v>2</v>
      </c>
      <c r="Z5" s="26">
        <v>2</v>
      </c>
      <c r="AA5" s="18">
        <f>COUNTIFS(C3:C606, "2",D3:D606,"ABRIL", I3:I606, "HOMBRE")</f>
        <v>0</v>
      </c>
      <c r="AB5" s="18">
        <f>COUNTIFS(C3:C606, "2",D3:D606,"ABRIL", I3:I606, "MUJER")</f>
        <v>1</v>
      </c>
      <c r="AC5" s="18">
        <f t="shared" ref="AC5:AC13" si="3">SUM(AA5:AB5)</f>
        <v>1</v>
      </c>
      <c r="AE5" s="26">
        <v>5</v>
      </c>
      <c r="AF5" s="18">
        <f>COUNTIFS(C3:C613, "5",D3:D613,"MAYO", I3:I613, "HOMBRE")</f>
        <v>0</v>
      </c>
      <c r="AG5" s="18">
        <f>COUNTIFS(C3:C613, "5",D3:D613,"MAYO", I3:I613, "MUJER")</f>
        <v>1</v>
      </c>
      <c r="AH5" s="18">
        <f t="shared" ref="AH5:AH9" si="4">SUM(AF5:AG5)</f>
        <v>1</v>
      </c>
    </row>
    <row r="6" spans="2:34" x14ac:dyDescent="0.25">
      <c r="B6" s="2" t="s">
        <v>12</v>
      </c>
      <c r="C6" s="2">
        <v>6</v>
      </c>
      <c r="D6" s="2" t="s">
        <v>856</v>
      </c>
      <c r="E6" s="38">
        <v>2020</v>
      </c>
      <c r="F6" s="2">
        <v>28</v>
      </c>
      <c r="G6" s="2" t="s">
        <v>858</v>
      </c>
      <c r="H6" s="38">
        <v>2019</v>
      </c>
      <c r="I6" s="43" t="s">
        <v>2</v>
      </c>
      <c r="K6" s="26">
        <v>9</v>
      </c>
      <c r="L6" s="18">
        <f>COUNTIFS(C3:C569, "9",D3:D569,"ENERO", I3:I569, "HOMBRE")</f>
        <v>12</v>
      </c>
      <c r="M6" s="18">
        <f>COUNTIFS(C3:C569, "9",D3:D569,"ENERO", I3:I569, "MUJER")</f>
        <v>11</v>
      </c>
      <c r="N6" s="18">
        <f t="shared" si="0"/>
        <v>23</v>
      </c>
      <c r="P6" s="26">
        <v>7</v>
      </c>
      <c r="Q6" s="18">
        <f>COUNTIFS(C3:C582, "7",D3:D582,"FEBRERO", I3:I582, "HOMBRE")</f>
        <v>1</v>
      </c>
      <c r="R6" s="18">
        <f>COUNTIFS(C3:C582, "7",D3:D582,"FEBRERO", I3:I582, "MUJER")</f>
        <v>0</v>
      </c>
      <c r="S6" s="18">
        <f t="shared" si="1"/>
        <v>1</v>
      </c>
      <c r="U6" s="26">
        <v>12</v>
      </c>
      <c r="V6" s="18">
        <f>COUNTIFS(C3:C596, "12",D3:D596,"MARZO", D3:D596, "HOMBRE")</f>
        <v>0</v>
      </c>
      <c r="W6" s="18">
        <f>COUNTIFS(C3:C596, "12",D3:D596,"MARZO", I3:I596, "MUJER")</f>
        <v>2</v>
      </c>
      <c r="X6" s="18">
        <f t="shared" si="2"/>
        <v>2</v>
      </c>
      <c r="Z6" s="26">
        <v>3</v>
      </c>
      <c r="AA6" s="18">
        <f>COUNTIFS(C3:C606, "3",D3:D606,"ABRIL", I3:I606, "HOMBRE")</f>
        <v>1</v>
      </c>
      <c r="AB6" s="18">
        <f>COUNTIFS(C3:C606, "3",D3:D606,"ABRIL", I3:I606, "MUJER")</f>
        <v>1</v>
      </c>
      <c r="AC6" s="18">
        <f t="shared" si="3"/>
        <v>2</v>
      </c>
      <c r="AE6" s="26">
        <v>7</v>
      </c>
      <c r="AF6" s="18">
        <f>COUNTIFS(C3:C613, "7",D3:D613,"MAYO", I3:I613, "HOMBRE")</f>
        <v>1</v>
      </c>
      <c r="AG6" s="18">
        <f>COUNTIFS(C3:C613, "7",D3:D613,"MAYO", I3:I613, "MUJER")</f>
        <v>1</v>
      </c>
      <c r="AH6" s="18">
        <f t="shared" si="4"/>
        <v>2</v>
      </c>
    </row>
    <row r="7" spans="2:34" x14ac:dyDescent="0.25">
      <c r="B7" s="2" t="s">
        <v>13</v>
      </c>
      <c r="C7" s="2">
        <v>7</v>
      </c>
      <c r="D7" s="2" t="s">
        <v>856</v>
      </c>
      <c r="E7" s="38">
        <v>2020</v>
      </c>
      <c r="F7" s="2">
        <v>7</v>
      </c>
      <c r="G7" s="2" t="s">
        <v>858</v>
      </c>
      <c r="H7" s="38">
        <v>2019</v>
      </c>
      <c r="I7" s="43" t="s">
        <v>3</v>
      </c>
      <c r="K7" s="26">
        <v>24</v>
      </c>
      <c r="L7" s="18">
        <f>COUNTIFS(C3:C569, "24",D3:D569,"ENERO", I3:I569, "HOMBRE")</f>
        <v>1</v>
      </c>
      <c r="M7" s="18">
        <f>COUNTIFS(C3:C569, "24",D3:D569,"ENERO", I3:I569, "MUJER")</f>
        <v>0</v>
      </c>
      <c r="N7" s="18">
        <f t="shared" si="0"/>
        <v>1</v>
      </c>
      <c r="P7" s="26">
        <v>10</v>
      </c>
      <c r="Q7" s="18">
        <f>COUNTIFS(C3:C582, "10",D3:D582,"FEBRERO", I3:I582, "HOMBRE")</f>
        <v>2</v>
      </c>
      <c r="R7" s="18">
        <f>COUNTIFS(C3:C582, "10",D3:D582,"FEBRERO", I3:I582, "MUJER")</f>
        <v>0</v>
      </c>
      <c r="S7" s="18">
        <f t="shared" si="1"/>
        <v>2</v>
      </c>
      <c r="U7" s="26">
        <v>17</v>
      </c>
      <c r="V7" s="18">
        <f>COUNTIFS(C3:C596, "17",D3:D596,"MARZO", D3:D596, "HOMBRE")</f>
        <v>0</v>
      </c>
      <c r="W7" s="18">
        <f>COUNTIFS(C3:C596, "17",D3:D596,"MARZO", I3:I596, "MUJER")</f>
        <v>3</v>
      </c>
      <c r="X7" s="18">
        <f t="shared" si="2"/>
        <v>3</v>
      </c>
      <c r="Z7" s="26">
        <v>16</v>
      </c>
      <c r="AA7" s="18">
        <f>COUNTIFS(C3:C606, "16",D3:D606,"ABRIL", I3:I606, "HOMBRE")</f>
        <v>0</v>
      </c>
      <c r="AB7" s="18">
        <f>COUNTIFS(C3:C606, "16",D3:D606,"ABRIL", I3:I606, "MUJER")</f>
        <v>1</v>
      </c>
      <c r="AC7" s="18">
        <f t="shared" si="3"/>
        <v>1</v>
      </c>
      <c r="AE7" s="26">
        <v>19</v>
      </c>
      <c r="AF7" s="18">
        <f>COUNTIFS(C3:C613, "19",D3:D613,"MAYO", I3:I613, "HOMBRE")</f>
        <v>2</v>
      </c>
      <c r="AG7" s="18">
        <f>COUNTIFS(C3:C613, "19",D3:D613,"MAYO", I3:I613, "MUJER")</f>
        <v>2</v>
      </c>
      <c r="AH7" s="18">
        <f t="shared" si="4"/>
        <v>4</v>
      </c>
    </row>
    <row r="8" spans="2:34" x14ac:dyDescent="0.25">
      <c r="B8" s="2" t="s">
        <v>14</v>
      </c>
      <c r="C8" s="2">
        <v>9</v>
      </c>
      <c r="D8" s="2" t="s">
        <v>856</v>
      </c>
      <c r="E8" s="38">
        <v>2020</v>
      </c>
      <c r="F8" s="2">
        <v>18</v>
      </c>
      <c r="G8" s="2" t="s">
        <v>857</v>
      </c>
      <c r="H8" s="38">
        <v>2017</v>
      </c>
      <c r="I8" s="43" t="s">
        <v>2</v>
      </c>
      <c r="K8" s="26">
        <v>30</v>
      </c>
      <c r="L8" s="18">
        <f>COUNTIFS(C3:C569, "30",D3:D569,"ENERO", I3:I569, "HOMBRE")</f>
        <v>0</v>
      </c>
      <c r="M8" s="18">
        <f>COUNTIFS(C3:C569, "30",D3:D569,"ENERO", I3:I569, "MUJER")</f>
        <v>1</v>
      </c>
      <c r="N8" s="18">
        <f t="shared" si="0"/>
        <v>1</v>
      </c>
      <c r="P8" s="26">
        <v>18</v>
      </c>
      <c r="Q8" s="18">
        <f>COUNTIFS(C3:C582, "18",D3:D582,"FEBRERO", I3:I582, "HOMBRE")</f>
        <v>0</v>
      </c>
      <c r="R8" s="18">
        <f>COUNTIFS(C3:C582, "18",D3:D582,"FEBRERO", I3:I582, "MUJER")</f>
        <v>2</v>
      </c>
      <c r="S8" s="18">
        <f t="shared" si="1"/>
        <v>2</v>
      </c>
      <c r="U8" s="26">
        <v>18</v>
      </c>
      <c r="V8" s="18">
        <f>COUNTIFS(C3:C596, "18",D3:D596,"MARZO", D3:D596, "HOMBRE")</f>
        <v>0</v>
      </c>
      <c r="W8" s="18">
        <f>COUNTIFS(C3:C596, "18",D3:D596,"MARZO", I3:I596, "MUJER")</f>
        <v>0</v>
      </c>
      <c r="X8" s="18">
        <f t="shared" si="2"/>
        <v>0</v>
      </c>
      <c r="Z8" s="26">
        <v>21</v>
      </c>
      <c r="AA8" s="18">
        <f>COUNTIFS(C3:C606, "21",D3:D606,"ABRIL", I3:I606, "HOMBRE")</f>
        <v>1</v>
      </c>
      <c r="AB8" s="18">
        <f>COUNTIFS(C3:C606, "21",D3:D606,"ABRIL", I3:I606, "MUJER")</f>
        <v>0</v>
      </c>
      <c r="AC8" s="18">
        <f t="shared" si="3"/>
        <v>1</v>
      </c>
      <c r="AE8" s="26">
        <v>21</v>
      </c>
      <c r="AF8" s="18">
        <f>COUNTIFS(C3:C613, "21",D3:D613,"MAYO", I3:I613, "HOMBRE")</f>
        <v>1</v>
      </c>
      <c r="AG8" s="18">
        <f>COUNTIFS(C3:C613, "21",D3:D613,"MAYO", I3:I613, "MUJER")</f>
        <v>0</v>
      </c>
      <c r="AH8" s="18">
        <f t="shared" si="4"/>
        <v>1</v>
      </c>
    </row>
    <row r="9" spans="2:34" x14ac:dyDescent="0.25">
      <c r="B9" s="2" t="s">
        <v>15</v>
      </c>
      <c r="C9" s="2">
        <v>9</v>
      </c>
      <c r="D9" s="2" t="s">
        <v>856</v>
      </c>
      <c r="E9" s="38">
        <v>2020</v>
      </c>
      <c r="F9" s="2">
        <v>27</v>
      </c>
      <c r="G9" s="2" t="s">
        <v>858</v>
      </c>
      <c r="H9" s="38">
        <v>2019</v>
      </c>
      <c r="I9" s="43" t="s">
        <v>2</v>
      </c>
      <c r="K9" s="46" t="s">
        <v>871</v>
      </c>
      <c r="L9" s="46"/>
      <c r="M9" s="46"/>
      <c r="N9" s="25">
        <f>SUM(N4:N8)</f>
        <v>30</v>
      </c>
      <c r="P9" s="26">
        <v>21</v>
      </c>
      <c r="Q9" s="18">
        <f>COUNTIFS(C3:C582, "21",D3:D582,"FEBRERO", I3:I582, "HOMBRE")</f>
        <v>1</v>
      </c>
      <c r="R9" s="18">
        <f>COUNTIFS(C3:C582, "21",D3:D582,"FEBRERO", I3:I582, "MUJER")</f>
        <v>2</v>
      </c>
      <c r="S9" s="18">
        <f t="shared" si="1"/>
        <v>3</v>
      </c>
      <c r="U9" s="26">
        <v>20</v>
      </c>
      <c r="V9" s="18">
        <f>COUNTIFS(C3:C596, "20",D3:D596,"MARZO", D3:D596, "HOMBRE")</f>
        <v>0</v>
      </c>
      <c r="W9" s="18">
        <f>COUNTIFS(C3:C596, "20",D3:D596,"MARZO", I3:I596, "MUJER")</f>
        <v>0</v>
      </c>
      <c r="X9" s="18">
        <f t="shared" si="2"/>
        <v>0</v>
      </c>
      <c r="Z9" s="26">
        <v>23</v>
      </c>
      <c r="AA9" s="18">
        <f>COUNTIFS(C3:C606, "23",D3:D606,"ABRIL", I3:I606, "HOMBRE")</f>
        <v>2</v>
      </c>
      <c r="AB9" s="18">
        <f>COUNTIFS(C3:C606, "23",D3:D606,"ABRIL", I3:I606, "MUJER")</f>
        <v>2</v>
      </c>
      <c r="AC9" s="18">
        <f t="shared" si="3"/>
        <v>4</v>
      </c>
      <c r="AE9" s="26">
        <v>26</v>
      </c>
      <c r="AF9" s="18">
        <f>COUNTIFS(C3:C613, "26",D3:D613,"MAYO", I3:I613, "HOMBRE")</f>
        <v>1</v>
      </c>
      <c r="AG9" s="18">
        <f>COUNTIFS(C3:C613, "26",D3:D613,"MAYO", I3:I613, "MUJER")</f>
        <v>4</v>
      </c>
      <c r="AH9" s="18">
        <f t="shared" si="4"/>
        <v>5</v>
      </c>
    </row>
    <row r="10" spans="2:34" x14ac:dyDescent="0.25">
      <c r="B10" s="2" t="s">
        <v>16</v>
      </c>
      <c r="C10" s="2">
        <v>9</v>
      </c>
      <c r="D10" s="2" t="s">
        <v>856</v>
      </c>
      <c r="E10" s="38">
        <v>2020</v>
      </c>
      <c r="F10" s="2">
        <v>4</v>
      </c>
      <c r="G10" s="2" t="s">
        <v>870</v>
      </c>
      <c r="H10" s="38">
        <v>2015</v>
      </c>
      <c r="I10" s="43" t="s">
        <v>2</v>
      </c>
      <c r="P10" s="26">
        <v>24</v>
      </c>
      <c r="Q10" s="18">
        <f>COUNTIFS(C3:C582, "24",D3:D582,"FEBRERO", I3:I582, "HOMBRE")</f>
        <v>1</v>
      </c>
      <c r="R10" s="18">
        <f>COUNTIFS(C3:C582, "24",D3:D582,"FEBRERO", I3:I582, "MUJER")</f>
        <v>1</v>
      </c>
      <c r="S10" s="18">
        <f t="shared" si="1"/>
        <v>2</v>
      </c>
      <c r="U10" s="26">
        <v>24</v>
      </c>
      <c r="V10" s="18">
        <f>COUNTIFS(C3:C596, "24",D3:D596,"MARZO", D3:D596, "HOMBRE")</f>
        <v>0</v>
      </c>
      <c r="W10" s="18">
        <f>COUNTIFS(C3:C596, "24",D3:D596,"MARZO", I3:I596, "MUJER")</f>
        <v>1</v>
      </c>
      <c r="X10" s="18">
        <f t="shared" si="2"/>
        <v>1</v>
      </c>
      <c r="Z10" s="26">
        <v>24</v>
      </c>
      <c r="AA10" s="18">
        <f>COUNTIFS(C3:C606, "24",D3:D606,"ABRIL", I3:I606, "HOMBRE")</f>
        <v>1</v>
      </c>
      <c r="AB10" s="18">
        <f>COUNTIFS(C3:C606, "24",D3:D606,"ABRIL", I3:I606, "MUJER")</f>
        <v>0</v>
      </c>
      <c r="AC10" s="18">
        <f t="shared" si="3"/>
        <v>1</v>
      </c>
      <c r="AE10" s="46" t="s">
        <v>871</v>
      </c>
      <c r="AF10" s="46"/>
      <c r="AG10" s="46"/>
      <c r="AH10" s="25">
        <f>SUM(AH4:AH9)</f>
        <v>15</v>
      </c>
    </row>
    <row r="11" spans="2:34" x14ac:dyDescent="0.25">
      <c r="B11" s="2" t="s">
        <v>17</v>
      </c>
      <c r="C11" s="2">
        <v>9</v>
      </c>
      <c r="D11" s="2" t="s">
        <v>856</v>
      </c>
      <c r="E11" s="38">
        <v>2020</v>
      </c>
      <c r="F11" s="2">
        <v>11</v>
      </c>
      <c r="G11" s="2" t="s">
        <v>858</v>
      </c>
      <c r="H11" s="38">
        <v>2019</v>
      </c>
      <c r="I11" s="43" t="s">
        <v>3</v>
      </c>
      <c r="P11" s="26">
        <v>25</v>
      </c>
      <c r="Q11" s="18">
        <f>COUNTIFS(C3:C582, "25",D3:D582,"FEBRERO", I3:I582, "HOMBRE")</f>
        <v>0</v>
      </c>
      <c r="R11" s="18">
        <f>COUNTIFS(C3:C582, "25",D3:D582,"FEBRERO", I3:I582, "MUJER")</f>
        <v>1</v>
      </c>
      <c r="S11" s="18">
        <f t="shared" si="1"/>
        <v>1</v>
      </c>
      <c r="U11" s="26">
        <v>27</v>
      </c>
      <c r="V11" s="18">
        <f>COUNTIFS(C3:C596, "27",D3:D596,"MARZO", D3:D596, "HOMBRE")</f>
        <v>0</v>
      </c>
      <c r="W11" s="18">
        <f>COUNTIFS(C3:C596, "27",D3:D596,"MARZO", I3:I596, "MUJER")</f>
        <v>0</v>
      </c>
      <c r="X11" s="18">
        <f t="shared" si="2"/>
        <v>0</v>
      </c>
      <c r="Z11" s="26">
        <v>27</v>
      </c>
      <c r="AA11" s="18">
        <f>COUNTIFS(C3:C606, "27",D3:D606,"ABRIL", I3:I606, "HOMBRE")</f>
        <v>1</v>
      </c>
      <c r="AB11" s="18">
        <f>COUNTIFS(C3:C606, "27",D3:D606,"ABRIL", I3:I606, "MUJER")</f>
        <v>0</v>
      </c>
      <c r="AC11" s="18">
        <f t="shared" si="3"/>
        <v>1</v>
      </c>
    </row>
    <row r="12" spans="2:34" x14ac:dyDescent="0.25">
      <c r="B12" s="2" t="s">
        <v>18</v>
      </c>
      <c r="C12" s="2">
        <v>9</v>
      </c>
      <c r="D12" s="2" t="s">
        <v>856</v>
      </c>
      <c r="E12" s="38">
        <v>2020</v>
      </c>
      <c r="F12" s="2">
        <v>1</v>
      </c>
      <c r="G12" s="2" t="s">
        <v>856</v>
      </c>
      <c r="H12" s="38">
        <v>2020</v>
      </c>
      <c r="I12" s="43" t="s">
        <v>2</v>
      </c>
      <c r="P12" s="26">
        <v>26</v>
      </c>
      <c r="Q12" s="18">
        <f>COUNTIFS(C3:C582, "26",D3:D582,"FEBRERO", I3:I582, "HOMBRE")</f>
        <v>1</v>
      </c>
      <c r="R12" s="18">
        <f>COUNTIFS(C3:C582, "26",D3:D582,"FEBRERO", I3:I582, "MUJER")</f>
        <v>1</v>
      </c>
      <c r="S12" s="18">
        <f t="shared" si="1"/>
        <v>2</v>
      </c>
      <c r="U12" s="26">
        <v>30</v>
      </c>
      <c r="V12" s="18">
        <f>COUNTIFS(C3:C596, "30",D3:D596,"MARZO", D3:D596, "HOMBRE")</f>
        <v>0</v>
      </c>
      <c r="W12" s="18">
        <f>COUNTIFS(C3:C596, "30",D3:D596,"MARZO", I3:I596, "MUJER")</f>
        <v>1</v>
      </c>
      <c r="X12" s="18">
        <f t="shared" si="2"/>
        <v>1</v>
      </c>
      <c r="Z12" s="26">
        <v>28</v>
      </c>
      <c r="AA12" s="18">
        <f>COUNTIFS(C3:C606, "28",D3:D606,"ABRIL", I3:I606, "HOMBRE")</f>
        <v>4</v>
      </c>
      <c r="AB12" s="18">
        <f>COUNTIFS(C3:C606, "28",D3:D606,"ABRIL", I3:I606, "MUJER")</f>
        <v>5</v>
      </c>
      <c r="AC12" s="18">
        <f t="shared" si="3"/>
        <v>9</v>
      </c>
    </row>
    <row r="13" spans="2:34" x14ac:dyDescent="0.25">
      <c r="B13" s="2" t="s">
        <v>19</v>
      </c>
      <c r="C13" s="2">
        <v>9</v>
      </c>
      <c r="D13" s="2" t="s">
        <v>856</v>
      </c>
      <c r="E13" s="38">
        <v>2020</v>
      </c>
      <c r="F13" s="2">
        <v>15</v>
      </c>
      <c r="G13" s="2" t="s">
        <v>857</v>
      </c>
      <c r="H13" s="38">
        <v>2018</v>
      </c>
      <c r="I13" s="43" t="s">
        <v>2</v>
      </c>
      <c r="P13" s="26">
        <v>27</v>
      </c>
      <c r="Q13" s="18">
        <f>COUNTIFS(C3:C582, "27",D3:D582,"FEBRERO", I3:I582, "HOMBRE")</f>
        <v>5</v>
      </c>
      <c r="R13" s="18">
        <f>COUNTIFS(C3:C582, "27",D3:D582,"FEBRERO", I3:I582, "MUJER")</f>
        <v>4</v>
      </c>
      <c r="S13" s="18">
        <f t="shared" si="1"/>
        <v>9</v>
      </c>
      <c r="U13" s="26">
        <v>31</v>
      </c>
      <c r="V13" s="18">
        <f>COUNTIFS(C3:C596, "31",D3:D596,"MARZO", D3:D596, "HOMBRE")</f>
        <v>0</v>
      </c>
      <c r="W13" s="18">
        <f>COUNTIFS(C3:C596, "32",D3:D596,"MARZO", I3:I596, "MUJER")</f>
        <v>0</v>
      </c>
      <c r="X13" s="18">
        <f t="shared" si="2"/>
        <v>0</v>
      </c>
      <c r="Z13" s="26">
        <v>30</v>
      </c>
      <c r="AA13" s="18">
        <f>COUNTIFS(C3:C606, "30",D3:D606,"ABRIL", I3:I606, "HOMBRE")</f>
        <v>2</v>
      </c>
      <c r="AB13" s="18">
        <f>COUNTIFS(C3:C606, "30",D3:D606,"ABRIL", I3:I606, "MUJER")</f>
        <v>1</v>
      </c>
      <c r="AC13" s="18">
        <f t="shared" si="3"/>
        <v>3</v>
      </c>
    </row>
    <row r="14" spans="2:34" x14ac:dyDescent="0.25">
      <c r="B14" s="2" t="s">
        <v>20</v>
      </c>
      <c r="C14" s="2">
        <v>9</v>
      </c>
      <c r="D14" s="2" t="s">
        <v>856</v>
      </c>
      <c r="E14" s="38">
        <v>2020</v>
      </c>
      <c r="F14" s="2">
        <v>22</v>
      </c>
      <c r="G14" s="2" t="s">
        <v>857</v>
      </c>
      <c r="H14" s="38">
        <v>2019</v>
      </c>
      <c r="I14" s="43" t="s">
        <v>3</v>
      </c>
      <c r="P14" s="26">
        <v>28</v>
      </c>
      <c r="Q14" s="18">
        <f>COUNTIFS(C3:C582, "28",D3:D582,"FEBRERO", I3:I582, "HOMBRE")</f>
        <v>0</v>
      </c>
      <c r="R14" s="18">
        <f>COUNTIFS(C3:C582, "28",D3:D582,"FEBRERO", I13:I592, "MUJER")</f>
        <v>3</v>
      </c>
      <c r="S14" s="18">
        <f t="shared" si="1"/>
        <v>3</v>
      </c>
      <c r="U14" s="46" t="s">
        <v>871</v>
      </c>
      <c r="V14" s="46"/>
      <c r="W14" s="46"/>
      <c r="X14" s="25">
        <f>SUM(X4:X13)</f>
        <v>10</v>
      </c>
      <c r="Z14" s="46" t="s">
        <v>871</v>
      </c>
      <c r="AA14" s="46"/>
      <c r="AB14" s="46"/>
      <c r="AC14" s="25">
        <f>SUM(AC4:AC13)</f>
        <v>25</v>
      </c>
    </row>
    <row r="15" spans="2:34" x14ac:dyDescent="0.25">
      <c r="B15" s="2" t="s">
        <v>21</v>
      </c>
      <c r="C15" s="2">
        <v>9</v>
      </c>
      <c r="D15" s="2" t="s">
        <v>856</v>
      </c>
      <c r="E15" s="38">
        <v>2020</v>
      </c>
      <c r="F15" s="2">
        <v>1</v>
      </c>
      <c r="G15" s="2" t="s">
        <v>856</v>
      </c>
      <c r="H15" s="38">
        <v>2020</v>
      </c>
      <c r="I15" s="43" t="s">
        <v>2</v>
      </c>
      <c r="P15" s="46" t="s">
        <v>871</v>
      </c>
      <c r="Q15" s="46"/>
      <c r="R15" s="46"/>
      <c r="S15" s="25">
        <f>SUM(S4:S14)</f>
        <v>27</v>
      </c>
    </row>
    <row r="16" spans="2:34" x14ac:dyDescent="0.25">
      <c r="B16" s="2" t="s">
        <v>22</v>
      </c>
      <c r="C16" s="2">
        <v>9</v>
      </c>
      <c r="D16" s="2" t="s">
        <v>856</v>
      </c>
      <c r="E16" s="38">
        <v>2020</v>
      </c>
      <c r="F16" s="2">
        <v>4</v>
      </c>
      <c r="G16" s="2" t="s">
        <v>858</v>
      </c>
      <c r="H16" s="38">
        <v>2019</v>
      </c>
      <c r="I16" s="43" t="s">
        <v>3</v>
      </c>
    </row>
    <row r="17" spans="2:19" x14ac:dyDescent="0.25">
      <c r="B17" s="2" t="s">
        <v>23</v>
      </c>
      <c r="C17" s="2">
        <v>9</v>
      </c>
      <c r="D17" s="2" t="s">
        <v>856</v>
      </c>
      <c r="E17" s="38">
        <v>2020</v>
      </c>
      <c r="F17" s="2">
        <v>5</v>
      </c>
      <c r="G17" s="2" t="s">
        <v>870</v>
      </c>
      <c r="H17" s="38">
        <v>2019</v>
      </c>
      <c r="I17" s="43" t="s">
        <v>3</v>
      </c>
      <c r="K17" s="47" t="s">
        <v>918</v>
      </c>
      <c r="L17" s="47"/>
      <c r="M17" s="47"/>
      <c r="N17" s="22" t="s">
        <v>859</v>
      </c>
      <c r="P17" s="47" t="s">
        <v>919</v>
      </c>
      <c r="Q17" s="47"/>
      <c r="R17" s="47"/>
      <c r="S17" s="22" t="s">
        <v>859</v>
      </c>
    </row>
    <row r="18" spans="2:19" x14ac:dyDescent="0.25">
      <c r="B18" s="2" t="s">
        <v>24</v>
      </c>
      <c r="C18" s="2">
        <v>9</v>
      </c>
      <c r="D18" s="2" t="s">
        <v>856</v>
      </c>
      <c r="E18" s="38">
        <v>2020</v>
      </c>
      <c r="F18" s="2">
        <v>22</v>
      </c>
      <c r="G18" s="2" t="s">
        <v>857</v>
      </c>
      <c r="H18" s="38">
        <v>2019</v>
      </c>
      <c r="I18" s="43" t="s">
        <v>3</v>
      </c>
      <c r="K18" s="23" t="s">
        <v>860</v>
      </c>
      <c r="L18" s="23" t="s">
        <v>3</v>
      </c>
      <c r="M18" s="23" t="s">
        <v>2</v>
      </c>
      <c r="N18" s="23" t="s">
        <v>862</v>
      </c>
      <c r="P18" s="23" t="s">
        <v>860</v>
      </c>
      <c r="Q18" s="23" t="s">
        <v>3</v>
      </c>
      <c r="R18" s="23" t="s">
        <v>2</v>
      </c>
      <c r="S18" s="23" t="s">
        <v>862</v>
      </c>
    </row>
    <row r="19" spans="2:19" x14ac:dyDescent="0.25">
      <c r="B19" s="2" t="s">
        <v>25</v>
      </c>
      <c r="C19" s="2">
        <v>9</v>
      </c>
      <c r="D19" s="2" t="s">
        <v>856</v>
      </c>
      <c r="E19" s="38">
        <v>2020</v>
      </c>
      <c r="F19" s="2">
        <v>30</v>
      </c>
      <c r="G19" s="2" t="s">
        <v>868</v>
      </c>
      <c r="H19" s="38">
        <v>2019</v>
      </c>
      <c r="I19" s="43" t="s">
        <v>2</v>
      </c>
      <c r="K19" s="18">
        <v>1</v>
      </c>
      <c r="L19" s="18">
        <f>COUNTIFS(C3:C633, "1",D3:D633,"JUNIO", I3:I633, "HOMBRE")</f>
        <v>0</v>
      </c>
      <c r="M19" s="18">
        <f>COUNTIFS(C3:C633, "1",D3:D633,"JUNIO", I3:I633, "MUJER")</f>
        <v>1</v>
      </c>
      <c r="N19" s="18">
        <f>SUM(L19:M19)</f>
        <v>1</v>
      </c>
      <c r="P19" s="18">
        <v>1</v>
      </c>
      <c r="Q19" s="18">
        <f>COUNTIFS(C3:C633, "1",D3:D633,"JULIO", I3:I633, "HOMBRE")</f>
        <v>1</v>
      </c>
      <c r="R19" s="18">
        <f>COUNTIFS(C3:C633, "1",D3:D633,"JULIO", I3:I633, "MUJER")</f>
        <v>0</v>
      </c>
      <c r="S19" s="18">
        <f>SUM(Q19:R19)</f>
        <v>1</v>
      </c>
    </row>
    <row r="20" spans="2:19" x14ac:dyDescent="0.25">
      <c r="B20" s="2" t="s">
        <v>26</v>
      </c>
      <c r="C20" s="2">
        <v>9</v>
      </c>
      <c r="D20" s="2" t="s">
        <v>856</v>
      </c>
      <c r="E20" s="38">
        <v>2020</v>
      </c>
      <c r="F20" s="2">
        <v>22</v>
      </c>
      <c r="G20" s="2" t="s">
        <v>863</v>
      </c>
      <c r="H20" s="38">
        <v>2019</v>
      </c>
      <c r="I20" s="43" t="s">
        <v>3</v>
      </c>
      <c r="K20" s="26">
        <v>2</v>
      </c>
      <c r="L20" s="18">
        <f>COUNTIFS(C3:C633, "2",D3:D633,"JUNIO", I3:I633, "HOMBRE")</f>
        <v>2</v>
      </c>
      <c r="M20" s="18">
        <f>COUNTIFS(C3:C633, "2",D3:D633,"JUNIO", I3:I633, "MUJER")</f>
        <v>2</v>
      </c>
      <c r="N20" s="18">
        <f t="shared" ref="N20:N26" si="5">SUM(L20:M20)</f>
        <v>4</v>
      </c>
      <c r="P20" s="26">
        <v>2</v>
      </c>
      <c r="Q20" s="18">
        <f>COUNTIFS(C3:C633, "2",D3:D633,"JULIO", I3:I633, "HOMBRE")</f>
        <v>2</v>
      </c>
      <c r="R20" s="18">
        <f>COUNTIFS(C3:C633, "2",D3:D633,"JULIO", I3:I633, "MUJER")</f>
        <v>2</v>
      </c>
      <c r="S20" s="18">
        <f t="shared" ref="S20:S25" si="6">SUM(Q20:R20)</f>
        <v>4</v>
      </c>
    </row>
    <row r="21" spans="2:19" x14ac:dyDescent="0.25">
      <c r="B21" s="2" t="s">
        <v>27</v>
      </c>
      <c r="C21" s="2">
        <v>9</v>
      </c>
      <c r="D21" s="2" t="s">
        <v>856</v>
      </c>
      <c r="E21" s="38">
        <v>2020</v>
      </c>
      <c r="F21" s="2">
        <v>18</v>
      </c>
      <c r="G21" s="2" t="s">
        <v>856</v>
      </c>
      <c r="H21" s="38">
        <v>2017</v>
      </c>
      <c r="I21" s="43" t="s">
        <v>2</v>
      </c>
      <c r="K21" s="26">
        <v>9</v>
      </c>
      <c r="L21" s="18">
        <f>COUNTIFS(C3:C633, "9",D3:D633,"JUNIO", I3:I633, "HOMBRE")</f>
        <v>1</v>
      </c>
      <c r="M21" s="18">
        <f>COUNTIFS(C3:C633, "9",D3:D633,"JUNIO", I3:I633, "MUJER")</f>
        <v>0</v>
      </c>
      <c r="N21" s="18">
        <f t="shared" si="5"/>
        <v>1</v>
      </c>
      <c r="P21" s="26">
        <v>3</v>
      </c>
      <c r="Q21" s="18">
        <f>COUNTIFS(C3:C633, "3",D3:D633,"JULIO", I3:I633, "HOMBRE")</f>
        <v>0</v>
      </c>
      <c r="R21" s="18">
        <f>COUNTIFS(C3:C633, "3",D3:D633,"JULIO", I3:I633, "MUJER")</f>
        <v>1</v>
      </c>
      <c r="S21" s="18">
        <f t="shared" si="6"/>
        <v>1</v>
      </c>
    </row>
    <row r="22" spans="2:19" x14ac:dyDescent="0.25">
      <c r="B22" s="2" t="s">
        <v>28</v>
      </c>
      <c r="C22" s="2">
        <v>9</v>
      </c>
      <c r="D22" s="2" t="s">
        <v>856</v>
      </c>
      <c r="E22" s="38">
        <v>2020</v>
      </c>
      <c r="F22" s="2">
        <v>30</v>
      </c>
      <c r="G22" s="2" t="s">
        <v>863</v>
      </c>
      <c r="H22" s="38">
        <v>2019</v>
      </c>
      <c r="I22" s="43" t="s">
        <v>3</v>
      </c>
      <c r="K22" s="26">
        <v>10</v>
      </c>
      <c r="L22" s="18">
        <f>COUNTIFS(C3:C633, "10",D3:D633,"JUNIO", I3:I633, "HOMBRE")</f>
        <v>1</v>
      </c>
      <c r="M22" s="18">
        <f>COUNTIFS(C3:C633, "10",D3:D633,"JUNIO", I3:I633, "MUJER")</f>
        <v>1</v>
      </c>
      <c r="N22" s="18">
        <f t="shared" si="5"/>
        <v>2</v>
      </c>
      <c r="P22" s="26">
        <v>23</v>
      </c>
      <c r="Q22" s="18">
        <f>COUNTIFS(C3:C633, "23",D3:D633,"JULIO", I3:I633, "HOMBRE")</f>
        <v>1</v>
      </c>
      <c r="R22" s="18">
        <f>COUNTIFS(C3:C633, "23",D3:D633,"JULIO", I3:I633, "MUJER")</f>
        <v>0</v>
      </c>
      <c r="S22" s="18">
        <f t="shared" si="6"/>
        <v>1</v>
      </c>
    </row>
    <row r="23" spans="2:19" x14ac:dyDescent="0.25">
      <c r="B23" s="2" t="s">
        <v>29</v>
      </c>
      <c r="C23" s="2">
        <v>9</v>
      </c>
      <c r="D23" s="2" t="s">
        <v>856</v>
      </c>
      <c r="E23" s="38">
        <v>2020</v>
      </c>
      <c r="F23" s="2">
        <v>24</v>
      </c>
      <c r="G23" s="2" t="s">
        <v>857</v>
      </c>
      <c r="H23" s="38">
        <v>2019</v>
      </c>
      <c r="I23" s="43" t="s">
        <v>3</v>
      </c>
      <c r="K23" s="26">
        <v>23</v>
      </c>
      <c r="L23" s="18">
        <f>COUNTIFS(C3:C633, "23",D3:D633,"JUNIO", I3:I633, "HOMBRE")</f>
        <v>0</v>
      </c>
      <c r="M23" s="18">
        <f>COUNTIFS(C3:C633, "23",D3:D633,"JUNIO", I3:I633, "MUJER")</f>
        <v>1</v>
      </c>
      <c r="N23" s="18">
        <f t="shared" si="5"/>
        <v>1</v>
      </c>
      <c r="P23" s="26">
        <v>24</v>
      </c>
      <c r="Q23" s="18">
        <f>COUNTIFS(C3:C633, "24",D3:D633,"JULIO", I3:I633, "HOMBRE")</f>
        <v>1</v>
      </c>
      <c r="R23" s="18">
        <f>COUNTIFS(C3:C633, "24",D3:D633,"JULIO", I3:I633, "MUJER")</f>
        <v>0</v>
      </c>
      <c r="S23" s="18">
        <f t="shared" si="6"/>
        <v>1</v>
      </c>
    </row>
    <row r="24" spans="2:19" x14ac:dyDescent="0.25">
      <c r="B24" s="2" t="s">
        <v>30</v>
      </c>
      <c r="C24" s="2">
        <v>9</v>
      </c>
      <c r="D24" s="2" t="s">
        <v>856</v>
      </c>
      <c r="E24" s="38">
        <v>2020</v>
      </c>
      <c r="F24" s="2">
        <v>27</v>
      </c>
      <c r="G24" s="2" t="s">
        <v>858</v>
      </c>
      <c r="H24" s="38">
        <v>2019</v>
      </c>
      <c r="I24" s="43" t="s">
        <v>3</v>
      </c>
      <c r="K24" s="26">
        <v>24</v>
      </c>
      <c r="L24" s="18">
        <f>COUNTIFS(C3:C633, "24",D3:D633,"JUNIO", I3:I633, "HOMBRE")</f>
        <v>5</v>
      </c>
      <c r="M24" s="18">
        <f>COUNTIFS(C3:C633, "24",D3:D633,"JUNIO", I3:I633, "MUJER")</f>
        <v>1</v>
      </c>
      <c r="N24" s="18">
        <f t="shared" si="5"/>
        <v>6</v>
      </c>
      <c r="P24" s="26">
        <v>27</v>
      </c>
      <c r="Q24" s="18">
        <f>COUNTIFS(C3:C633, "27",D3:D633,"JULIO", I3:I633, "HOMBRE")</f>
        <v>0</v>
      </c>
      <c r="R24" s="18">
        <f>COUNTIFS(C3:C633, "27",D3:D633,"JULIO", I3:I633, "MUJER")</f>
        <v>1</v>
      </c>
      <c r="S24" s="18">
        <f t="shared" si="6"/>
        <v>1</v>
      </c>
    </row>
    <row r="25" spans="2:19" x14ac:dyDescent="0.25">
      <c r="B25" s="2" t="s">
        <v>31</v>
      </c>
      <c r="C25" s="2">
        <v>9</v>
      </c>
      <c r="D25" s="2" t="s">
        <v>856</v>
      </c>
      <c r="E25" s="38">
        <v>2020</v>
      </c>
      <c r="F25" s="2">
        <v>7</v>
      </c>
      <c r="G25" s="2" t="s">
        <v>861</v>
      </c>
      <c r="H25" s="38">
        <v>2019</v>
      </c>
      <c r="I25" s="43" t="s">
        <v>3</v>
      </c>
      <c r="K25" s="26">
        <v>25</v>
      </c>
      <c r="L25" s="18">
        <f>COUNTIFS(C3:C633, "25",D3:D633,"JUNIO", I3:I633, "HOMBRE")</f>
        <v>2</v>
      </c>
      <c r="M25" s="18">
        <f>COUNTIFS(C3:C633, "25",D3:D633,"JUNIO", I3:I633, "MUJER")</f>
        <v>0</v>
      </c>
      <c r="N25" s="18">
        <f t="shared" si="5"/>
        <v>2</v>
      </c>
      <c r="P25" s="26">
        <v>28</v>
      </c>
      <c r="Q25" s="18">
        <f>COUNTIFS(C3:C633, "28",D3:D633,"JULIO", I3:I633, "HOMBRE")</f>
        <v>0</v>
      </c>
      <c r="R25" s="18">
        <f>COUNTIFS(C3:C633, "28",D3:D633,"JULIO", I3:I633, "MUJER")</f>
        <v>1</v>
      </c>
      <c r="S25" s="18">
        <f t="shared" si="6"/>
        <v>1</v>
      </c>
    </row>
    <row r="26" spans="2:19" x14ac:dyDescent="0.25">
      <c r="B26" s="2" t="s">
        <v>32</v>
      </c>
      <c r="C26" s="2">
        <v>9</v>
      </c>
      <c r="D26" s="2" t="s">
        <v>856</v>
      </c>
      <c r="E26" s="38">
        <v>2020</v>
      </c>
      <c r="F26" s="2">
        <v>9</v>
      </c>
      <c r="G26" s="2" t="s">
        <v>857</v>
      </c>
      <c r="H26" s="38">
        <v>2019</v>
      </c>
      <c r="I26" s="43" t="s">
        <v>3</v>
      </c>
      <c r="K26" s="26">
        <v>26</v>
      </c>
      <c r="L26" s="18">
        <f>COUNTIFS(C3:C633, "26",D3:D633,"JUNIO", I3:I633, "HOMBRE")</f>
        <v>1</v>
      </c>
      <c r="M26" s="18">
        <f>COUNTIFS(C3:C633, "26",D3:D633,"JUNIO", I3:I633, "MUJER")</f>
        <v>0</v>
      </c>
      <c r="N26" s="18">
        <f t="shared" si="5"/>
        <v>1</v>
      </c>
      <c r="P26" s="46" t="s">
        <v>871</v>
      </c>
      <c r="Q26" s="46"/>
      <c r="R26" s="46"/>
      <c r="S26" s="25">
        <f>SUM(S19:S25)</f>
        <v>10</v>
      </c>
    </row>
    <row r="27" spans="2:19" x14ac:dyDescent="0.25">
      <c r="B27" s="2" t="s">
        <v>33</v>
      </c>
      <c r="C27" s="2">
        <v>9</v>
      </c>
      <c r="D27" s="2" t="s">
        <v>856</v>
      </c>
      <c r="E27" s="38">
        <v>2020</v>
      </c>
      <c r="F27" s="2">
        <v>30</v>
      </c>
      <c r="G27" s="2" t="s">
        <v>870</v>
      </c>
      <c r="H27" s="38">
        <v>2019</v>
      </c>
      <c r="I27" s="43" t="s">
        <v>2</v>
      </c>
      <c r="K27" s="46" t="s">
        <v>871</v>
      </c>
      <c r="L27" s="46"/>
      <c r="M27" s="46"/>
      <c r="N27" s="25">
        <f>SUM(N19:N26)</f>
        <v>18</v>
      </c>
    </row>
    <row r="28" spans="2:19" x14ac:dyDescent="0.25">
      <c r="B28" s="2" t="s">
        <v>34</v>
      </c>
      <c r="C28" s="2">
        <v>9</v>
      </c>
      <c r="D28" s="2" t="s">
        <v>856</v>
      </c>
      <c r="E28" s="38">
        <v>2020</v>
      </c>
      <c r="F28" s="2">
        <v>31</v>
      </c>
      <c r="G28" s="2" t="s">
        <v>857</v>
      </c>
      <c r="H28" s="38">
        <v>2019</v>
      </c>
      <c r="I28" s="43" t="s">
        <v>2</v>
      </c>
    </row>
    <row r="29" spans="2:19" x14ac:dyDescent="0.25">
      <c r="B29" s="2" t="s">
        <v>35</v>
      </c>
      <c r="C29" s="2">
        <v>9</v>
      </c>
      <c r="D29" s="2" t="s">
        <v>856</v>
      </c>
      <c r="E29" s="38">
        <v>2020</v>
      </c>
      <c r="F29" s="2">
        <v>28</v>
      </c>
      <c r="G29" s="2" t="s">
        <v>869</v>
      </c>
      <c r="H29" s="38">
        <v>2019</v>
      </c>
      <c r="I29" s="43" t="s">
        <v>3</v>
      </c>
    </row>
    <row r="30" spans="2:19" x14ac:dyDescent="0.25">
      <c r="B30" s="2" t="s">
        <v>36</v>
      </c>
      <c r="C30" s="2">
        <v>9</v>
      </c>
      <c r="D30" s="2" t="s">
        <v>856</v>
      </c>
      <c r="E30" s="38">
        <v>2020</v>
      </c>
      <c r="F30" s="2">
        <v>23</v>
      </c>
      <c r="G30" s="2" t="s">
        <v>858</v>
      </c>
      <c r="H30" s="38">
        <v>2019</v>
      </c>
      <c r="I30" s="43" t="s">
        <v>2</v>
      </c>
    </row>
    <row r="31" spans="2:19" x14ac:dyDescent="0.25">
      <c r="B31" s="2" t="s">
        <v>37</v>
      </c>
      <c r="C31" s="2">
        <v>24</v>
      </c>
      <c r="D31" s="2" t="s">
        <v>856</v>
      </c>
      <c r="E31" s="38">
        <v>2020</v>
      </c>
      <c r="F31" s="2">
        <v>27</v>
      </c>
      <c r="G31" s="2" t="s">
        <v>856</v>
      </c>
      <c r="H31" s="38">
        <v>1979</v>
      </c>
      <c r="I31" s="43" t="s">
        <v>3</v>
      </c>
    </row>
    <row r="32" spans="2:19" x14ac:dyDescent="0.25">
      <c r="B32" s="2" t="s">
        <v>38</v>
      </c>
      <c r="C32" s="2">
        <v>30</v>
      </c>
      <c r="D32" s="2" t="s">
        <v>856</v>
      </c>
      <c r="E32" s="38">
        <v>2020</v>
      </c>
      <c r="F32" s="2">
        <v>1</v>
      </c>
      <c r="G32" s="2" t="s">
        <v>864</v>
      </c>
      <c r="H32" s="38">
        <v>2019</v>
      </c>
      <c r="I32" s="43" t="s">
        <v>2</v>
      </c>
    </row>
    <row r="33" spans="2:9" x14ac:dyDescent="0.25">
      <c r="B33" s="2" t="s">
        <v>39</v>
      </c>
      <c r="C33" s="2">
        <v>4</v>
      </c>
      <c r="D33" s="2" t="s">
        <v>861</v>
      </c>
      <c r="E33" s="38">
        <v>2020</v>
      </c>
      <c r="F33" s="1">
        <v>13</v>
      </c>
      <c r="G33" s="2" t="s">
        <v>856</v>
      </c>
      <c r="H33" s="38">
        <v>2020</v>
      </c>
      <c r="I33" s="43" t="s">
        <v>3</v>
      </c>
    </row>
    <row r="34" spans="2:9" x14ac:dyDescent="0.25">
      <c r="B34" s="2" t="s">
        <v>40</v>
      </c>
      <c r="C34" s="2">
        <v>6</v>
      </c>
      <c r="D34" s="2" t="s">
        <v>861</v>
      </c>
      <c r="E34" s="38">
        <v>2020</v>
      </c>
      <c r="F34" s="2">
        <v>27</v>
      </c>
      <c r="G34" s="2" t="s">
        <v>861</v>
      </c>
      <c r="H34" s="38">
        <v>1954</v>
      </c>
      <c r="I34" s="43" t="s">
        <v>2</v>
      </c>
    </row>
    <row r="35" spans="2:9" x14ac:dyDescent="0.25">
      <c r="B35" s="2" t="s">
        <v>41</v>
      </c>
      <c r="C35" s="2">
        <v>7</v>
      </c>
      <c r="D35" s="2" t="s">
        <v>861</v>
      </c>
      <c r="E35" s="38">
        <v>2020</v>
      </c>
      <c r="F35" s="2">
        <v>17</v>
      </c>
      <c r="G35" s="2" t="s">
        <v>867</v>
      </c>
      <c r="H35" s="38">
        <v>2019</v>
      </c>
      <c r="I35" s="43" t="s">
        <v>3</v>
      </c>
    </row>
    <row r="36" spans="2:9" x14ac:dyDescent="0.25">
      <c r="B36" s="2" t="s">
        <v>42</v>
      </c>
      <c r="C36" s="2">
        <v>10</v>
      </c>
      <c r="D36" s="2" t="s">
        <v>861</v>
      </c>
      <c r="E36" s="38">
        <v>2020</v>
      </c>
      <c r="F36" s="2">
        <v>16</v>
      </c>
      <c r="G36" s="2" t="s">
        <v>857</v>
      </c>
      <c r="H36" s="38">
        <v>2019</v>
      </c>
      <c r="I36" s="43" t="s">
        <v>3</v>
      </c>
    </row>
    <row r="37" spans="2:9" x14ac:dyDescent="0.25">
      <c r="B37" s="2" t="s">
        <v>43</v>
      </c>
      <c r="C37" s="2">
        <v>10</v>
      </c>
      <c r="D37" s="2" t="s">
        <v>861</v>
      </c>
      <c r="E37" s="38">
        <v>2020</v>
      </c>
      <c r="F37" s="2">
        <v>17</v>
      </c>
      <c r="G37" s="2" t="s">
        <v>864</v>
      </c>
      <c r="H37" s="38">
        <v>2007</v>
      </c>
      <c r="I37" s="43" t="s">
        <v>3</v>
      </c>
    </row>
    <row r="38" spans="2:9" x14ac:dyDescent="0.25">
      <c r="B38" s="2" t="s">
        <v>44</v>
      </c>
      <c r="C38" s="2">
        <v>18</v>
      </c>
      <c r="D38" s="2" t="s">
        <v>861</v>
      </c>
      <c r="E38" s="38">
        <v>2020</v>
      </c>
      <c r="F38" s="2">
        <v>26</v>
      </c>
      <c r="G38" s="2" t="s">
        <v>856</v>
      </c>
      <c r="H38" s="38">
        <v>2020</v>
      </c>
      <c r="I38" s="43" t="s">
        <v>2</v>
      </c>
    </row>
    <row r="39" spans="2:9" x14ac:dyDescent="0.25">
      <c r="B39" s="2" t="s">
        <v>45</v>
      </c>
      <c r="C39" s="2">
        <v>18</v>
      </c>
      <c r="D39" s="2" t="s">
        <v>861</v>
      </c>
      <c r="E39" s="38">
        <v>2020</v>
      </c>
      <c r="F39" s="2">
        <v>27</v>
      </c>
      <c r="G39" s="2" t="s">
        <v>857</v>
      </c>
      <c r="H39" s="38">
        <v>2019</v>
      </c>
      <c r="I39" s="43" t="s">
        <v>2</v>
      </c>
    </row>
    <row r="40" spans="2:9" x14ac:dyDescent="0.25">
      <c r="B40" s="2" t="s">
        <v>46</v>
      </c>
      <c r="C40" s="2">
        <v>21</v>
      </c>
      <c r="D40" s="2" t="s">
        <v>861</v>
      </c>
      <c r="E40" s="38">
        <v>2020</v>
      </c>
      <c r="F40" s="2">
        <v>10</v>
      </c>
      <c r="G40" s="2" t="s">
        <v>857</v>
      </c>
      <c r="H40" s="56">
        <v>2019</v>
      </c>
      <c r="I40" s="43" t="s">
        <v>2</v>
      </c>
    </row>
    <row r="41" spans="2:9" x14ac:dyDescent="0.25">
      <c r="B41" s="2" t="s">
        <v>47</v>
      </c>
      <c r="C41" s="2">
        <v>21</v>
      </c>
      <c r="D41" s="2" t="s">
        <v>861</v>
      </c>
      <c r="E41" s="38">
        <v>2020</v>
      </c>
      <c r="F41" s="2">
        <v>6</v>
      </c>
      <c r="G41" s="2" t="s">
        <v>858</v>
      </c>
      <c r="H41" s="38">
        <v>2019</v>
      </c>
      <c r="I41" s="43" t="s">
        <v>2</v>
      </c>
    </row>
    <row r="42" spans="2:9" x14ac:dyDescent="0.25">
      <c r="B42" s="2" t="s">
        <v>48</v>
      </c>
      <c r="C42" s="2">
        <v>21</v>
      </c>
      <c r="D42" s="2" t="s">
        <v>861</v>
      </c>
      <c r="E42" s="38">
        <v>2020</v>
      </c>
      <c r="F42" s="2">
        <v>28</v>
      </c>
      <c r="G42" s="2" t="s">
        <v>869</v>
      </c>
      <c r="H42" s="56">
        <v>2003</v>
      </c>
      <c r="I42" s="43" t="s">
        <v>3</v>
      </c>
    </row>
    <row r="43" spans="2:9" x14ac:dyDescent="0.25">
      <c r="B43" s="2" t="s">
        <v>49</v>
      </c>
      <c r="C43" s="2">
        <v>24</v>
      </c>
      <c r="D43" s="2" t="s">
        <v>861</v>
      </c>
      <c r="E43" s="38">
        <v>2020</v>
      </c>
      <c r="F43" s="2">
        <v>15</v>
      </c>
      <c r="G43" s="2" t="s">
        <v>861</v>
      </c>
      <c r="H43" s="56">
        <v>2020</v>
      </c>
      <c r="I43" s="43" t="s">
        <v>2</v>
      </c>
    </row>
    <row r="44" spans="2:9" x14ac:dyDescent="0.25">
      <c r="B44" s="2" t="s">
        <v>50</v>
      </c>
      <c r="C44" s="2">
        <v>24</v>
      </c>
      <c r="D44" s="2" t="s">
        <v>861</v>
      </c>
      <c r="E44" s="38">
        <v>2020</v>
      </c>
      <c r="F44" s="2">
        <v>19</v>
      </c>
      <c r="G44" s="2" t="s">
        <v>863</v>
      </c>
      <c r="H44" s="38">
        <v>2019</v>
      </c>
      <c r="I44" s="43" t="s">
        <v>3</v>
      </c>
    </row>
    <row r="45" spans="2:9" x14ac:dyDescent="0.25">
      <c r="B45" s="2" t="s">
        <v>51</v>
      </c>
      <c r="C45" s="2">
        <v>25</v>
      </c>
      <c r="D45" s="2" t="s">
        <v>861</v>
      </c>
      <c r="E45" s="38">
        <v>2020</v>
      </c>
      <c r="F45" s="2">
        <v>28</v>
      </c>
      <c r="G45" s="2" t="s">
        <v>856</v>
      </c>
      <c r="H45" s="56">
        <v>2020</v>
      </c>
      <c r="I45" s="43" t="s">
        <v>2</v>
      </c>
    </row>
    <row r="46" spans="2:9" x14ac:dyDescent="0.25">
      <c r="B46" s="2" t="s">
        <v>52</v>
      </c>
      <c r="C46" s="2">
        <v>26</v>
      </c>
      <c r="D46" s="2" t="s">
        <v>861</v>
      </c>
      <c r="E46" s="38">
        <v>2020</v>
      </c>
      <c r="F46" s="2">
        <v>25</v>
      </c>
      <c r="G46" s="2" t="s">
        <v>866</v>
      </c>
      <c r="H46" s="38">
        <v>2019</v>
      </c>
      <c r="I46" s="43" t="s">
        <v>3</v>
      </c>
    </row>
    <row r="47" spans="2:9" x14ac:dyDescent="0.25">
      <c r="B47" s="2" t="s">
        <v>53</v>
      </c>
      <c r="C47" s="2">
        <v>26</v>
      </c>
      <c r="D47" s="2" t="s">
        <v>861</v>
      </c>
      <c r="E47" s="38">
        <v>2020</v>
      </c>
      <c r="F47" s="2">
        <v>25</v>
      </c>
      <c r="G47" s="2" t="s">
        <v>866</v>
      </c>
      <c r="H47" s="38">
        <v>2019</v>
      </c>
      <c r="I47" s="43" t="s">
        <v>2</v>
      </c>
    </row>
    <row r="48" spans="2:9" x14ac:dyDescent="0.25">
      <c r="B48" s="2" t="s">
        <v>54</v>
      </c>
      <c r="C48" s="2">
        <v>27</v>
      </c>
      <c r="D48" s="2" t="s">
        <v>861</v>
      </c>
      <c r="E48" s="38">
        <v>2020</v>
      </c>
      <c r="F48" s="2">
        <v>28</v>
      </c>
      <c r="G48" s="2" t="s">
        <v>866</v>
      </c>
      <c r="H48" s="56">
        <v>2017</v>
      </c>
      <c r="I48" s="43" t="s">
        <v>3</v>
      </c>
    </row>
    <row r="49" spans="2:9" x14ac:dyDescent="0.25">
      <c r="B49" s="2" t="s">
        <v>55</v>
      </c>
      <c r="C49" s="2">
        <v>27</v>
      </c>
      <c r="D49" s="2" t="s">
        <v>861</v>
      </c>
      <c r="E49" s="38">
        <v>2020</v>
      </c>
      <c r="F49" s="2">
        <v>16</v>
      </c>
      <c r="G49" s="2" t="s">
        <v>856</v>
      </c>
      <c r="H49" s="56">
        <v>2020</v>
      </c>
      <c r="I49" s="43" t="s">
        <v>3</v>
      </c>
    </row>
    <row r="50" spans="2:9" x14ac:dyDescent="0.25">
      <c r="B50" s="2" t="s">
        <v>56</v>
      </c>
      <c r="C50" s="2">
        <v>27</v>
      </c>
      <c r="D50" s="2" t="s">
        <v>861</v>
      </c>
      <c r="E50" s="38">
        <v>2020</v>
      </c>
      <c r="F50" s="2">
        <v>17</v>
      </c>
      <c r="G50" s="2" t="s">
        <v>858</v>
      </c>
      <c r="H50" s="38">
        <v>2009</v>
      </c>
      <c r="I50" s="43" t="s">
        <v>3</v>
      </c>
    </row>
    <row r="51" spans="2:9" x14ac:dyDescent="0.25">
      <c r="B51" s="2" t="s">
        <v>57</v>
      </c>
      <c r="C51" s="2">
        <v>27</v>
      </c>
      <c r="D51" s="2" t="s">
        <v>861</v>
      </c>
      <c r="E51" s="38">
        <v>2020</v>
      </c>
      <c r="F51" s="2">
        <v>25</v>
      </c>
      <c r="G51" s="2" t="s">
        <v>861</v>
      </c>
      <c r="H51" s="38">
        <v>2020</v>
      </c>
      <c r="I51" s="43" t="s">
        <v>3</v>
      </c>
    </row>
    <row r="52" spans="2:9" x14ac:dyDescent="0.25">
      <c r="B52" s="2" t="s">
        <v>58</v>
      </c>
      <c r="C52" s="2">
        <v>27</v>
      </c>
      <c r="D52" s="2" t="s">
        <v>861</v>
      </c>
      <c r="E52" s="38">
        <v>2020</v>
      </c>
      <c r="F52" s="2">
        <v>18</v>
      </c>
      <c r="G52" s="2" t="s">
        <v>858</v>
      </c>
      <c r="H52" s="38">
        <v>2013</v>
      </c>
      <c r="I52" s="43" t="s">
        <v>2</v>
      </c>
    </row>
    <row r="53" spans="2:9" x14ac:dyDescent="0.25">
      <c r="B53" s="2" t="s">
        <v>59</v>
      </c>
      <c r="C53" s="2">
        <v>27</v>
      </c>
      <c r="D53" s="2" t="s">
        <v>861</v>
      </c>
      <c r="E53" s="38">
        <v>2020</v>
      </c>
      <c r="F53" s="2">
        <v>7</v>
      </c>
      <c r="G53" s="2" t="s">
        <v>856</v>
      </c>
      <c r="H53" s="38">
        <v>2003</v>
      </c>
      <c r="I53" s="43" t="s">
        <v>2</v>
      </c>
    </row>
    <row r="54" spans="2:9" x14ac:dyDescent="0.25">
      <c r="B54" s="2" t="s">
        <v>60</v>
      </c>
      <c r="C54" s="2">
        <v>27</v>
      </c>
      <c r="D54" s="2" t="s">
        <v>861</v>
      </c>
      <c r="E54" s="38">
        <v>2020</v>
      </c>
      <c r="F54" s="2">
        <v>14</v>
      </c>
      <c r="G54" s="2" t="s">
        <v>865</v>
      </c>
      <c r="H54" s="38">
        <v>1999</v>
      </c>
      <c r="I54" s="43" t="s">
        <v>2</v>
      </c>
    </row>
    <row r="55" spans="2:9" x14ac:dyDescent="0.25">
      <c r="B55" s="2" t="s">
        <v>61</v>
      </c>
      <c r="C55" s="2">
        <v>27</v>
      </c>
      <c r="D55" s="2" t="s">
        <v>861</v>
      </c>
      <c r="E55" s="38">
        <v>2020</v>
      </c>
      <c r="F55" s="2">
        <v>21</v>
      </c>
      <c r="G55" s="2" t="s">
        <v>866</v>
      </c>
      <c r="H55" s="38">
        <v>2004</v>
      </c>
      <c r="I55" s="55" t="s">
        <v>3</v>
      </c>
    </row>
    <row r="56" spans="2:9" x14ac:dyDescent="0.25">
      <c r="B56" s="2" t="s">
        <v>62</v>
      </c>
      <c r="C56" s="2">
        <v>27</v>
      </c>
      <c r="D56" s="2" t="s">
        <v>861</v>
      </c>
      <c r="E56" s="38">
        <v>2020</v>
      </c>
      <c r="F56" s="2">
        <v>9</v>
      </c>
      <c r="G56" s="2" t="s">
        <v>858</v>
      </c>
      <c r="H56" s="38">
        <v>2005</v>
      </c>
      <c r="I56" s="43" t="s">
        <v>2</v>
      </c>
    </row>
    <row r="57" spans="2:9" x14ac:dyDescent="0.25">
      <c r="B57" s="2" t="s">
        <v>63</v>
      </c>
      <c r="C57" s="2">
        <v>28</v>
      </c>
      <c r="D57" s="2" t="s">
        <v>861</v>
      </c>
      <c r="E57" s="38">
        <v>2020</v>
      </c>
      <c r="F57" s="2">
        <v>13</v>
      </c>
      <c r="G57" s="2" t="s">
        <v>861</v>
      </c>
      <c r="H57" s="38">
        <v>2020</v>
      </c>
      <c r="I57" s="43" t="s">
        <v>2</v>
      </c>
    </row>
    <row r="58" spans="2:9" x14ac:dyDescent="0.25">
      <c r="B58" s="2" t="s">
        <v>64</v>
      </c>
      <c r="C58" s="2">
        <v>28</v>
      </c>
      <c r="D58" s="2" t="s">
        <v>861</v>
      </c>
      <c r="E58" s="38">
        <v>2020</v>
      </c>
      <c r="F58" s="2">
        <v>21</v>
      </c>
      <c r="G58" s="2" t="s">
        <v>858</v>
      </c>
      <c r="H58" s="56">
        <v>2019</v>
      </c>
      <c r="I58" s="43" t="s">
        <v>2</v>
      </c>
    </row>
    <row r="59" spans="2:9" x14ac:dyDescent="0.25">
      <c r="B59" s="2" t="s">
        <v>65</v>
      </c>
      <c r="C59" s="2">
        <v>28</v>
      </c>
      <c r="D59" s="2" t="s">
        <v>861</v>
      </c>
      <c r="E59" s="38">
        <v>2020</v>
      </c>
      <c r="F59" s="2">
        <v>24</v>
      </c>
      <c r="G59" s="2" t="s">
        <v>861</v>
      </c>
      <c r="H59" s="56">
        <v>2019</v>
      </c>
      <c r="I59" s="43" t="s">
        <v>2</v>
      </c>
    </row>
    <row r="60" spans="2:9" x14ac:dyDescent="0.25">
      <c r="B60" s="2" t="s">
        <v>66</v>
      </c>
      <c r="C60" s="2">
        <v>2</v>
      </c>
      <c r="D60" s="2" t="s">
        <v>867</v>
      </c>
      <c r="E60" s="38">
        <v>2020</v>
      </c>
      <c r="F60" s="2">
        <v>8</v>
      </c>
      <c r="G60" s="2" t="s">
        <v>861</v>
      </c>
      <c r="H60" s="56">
        <v>2020</v>
      </c>
      <c r="I60" s="43" t="s">
        <v>3</v>
      </c>
    </row>
    <row r="61" spans="2:9" x14ac:dyDescent="0.25">
      <c r="B61" s="2" t="s">
        <v>67</v>
      </c>
      <c r="C61" s="2">
        <v>2</v>
      </c>
      <c r="D61" s="2" t="s">
        <v>867</v>
      </c>
      <c r="E61" s="38">
        <v>2020</v>
      </c>
      <c r="F61" s="2">
        <v>26</v>
      </c>
      <c r="G61" s="2" t="s">
        <v>857</v>
      </c>
      <c r="H61" s="38">
        <v>2019</v>
      </c>
      <c r="I61" s="43" t="s">
        <v>3</v>
      </c>
    </row>
    <row r="62" spans="2:9" x14ac:dyDescent="0.25">
      <c r="B62" s="2" t="s">
        <v>68</v>
      </c>
      <c r="C62" s="2">
        <v>2</v>
      </c>
      <c r="D62" s="2" t="s">
        <v>867</v>
      </c>
      <c r="E62" s="38">
        <v>2020</v>
      </c>
      <c r="F62" s="2">
        <v>3</v>
      </c>
      <c r="G62" s="2" t="s">
        <v>870</v>
      </c>
      <c r="H62" s="56">
        <v>2019</v>
      </c>
      <c r="I62" s="43" t="s">
        <v>2</v>
      </c>
    </row>
    <row r="63" spans="2:9" x14ac:dyDescent="0.25">
      <c r="B63" s="2" t="s">
        <v>69</v>
      </c>
      <c r="C63" s="2">
        <v>3</v>
      </c>
      <c r="D63" s="2" t="s">
        <v>867</v>
      </c>
      <c r="E63" s="38">
        <v>2020</v>
      </c>
      <c r="F63" s="2">
        <v>5</v>
      </c>
      <c r="G63" s="2" t="s">
        <v>857</v>
      </c>
      <c r="H63" s="38">
        <v>2019</v>
      </c>
      <c r="I63" s="43" t="s">
        <v>2</v>
      </c>
    </row>
    <row r="64" spans="2:9" x14ac:dyDescent="0.25">
      <c r="B64" s="2" t="s">
        <v>70</v>
      </c>
      <c r="C64" s="2">
        <v>3</v>
      </c>
      <c r="D64" s="2" t="s">
        <v>867</v>
      </c>
      <c r="E64" s="38">
        <v>2020</v>
      </c>
      <c r="F64" s="2">
        <v>14</v>
      </c>
      <c r="G64" s="2" t="s">
        <v>865</v>
      </c>
      <c r="H64" s="38">
        <v>2019</v>
      </c>
      <c r="I64" s="43" t="s">
        <v>2</v>
      </c>
    </row>
    <row r="65" spans="2:9" x14ac:dyDescent="0.25">
      <c r="B65" s="2" t="s">
        <v>71</v>
      </c>
      <c r="C65" s="2">
        <v>12</v>
      </c>
      <c r="D65" s="2" t="s">
        <v>867</v>
      </c>
      <c r="E65" s="38">
        <v>2020</v>
      </c>
      <c r="F65" s="2">
        <v>8</v>
      </c>
      <c r="G65" s="2" t="s">
        <v>867</v>
      </c>
      <c r="H65" s="19">
        <v>2020</v>
      </c>
      <c r="I65" s="43" t="s">
        <v>2</v>
      </c>
    </row>
    <row r="66" spans="2:9" x14ac:dyDescent="0.25">
      <c r="B66" s="2" t="s">
        <v>72</v>
      </c>
      <c r="C66" s="2">
        <v>12</v>
      </c>
      <c r="D66" s="2" t="s">
        <v>867</v>
      </c>
      <c r="E66" s="38">
        <v>2020</v>
      </c>
      <c r="F66" s="2">
        <v>13</v>
      </c>
      <c r="G66" s="2" t="s">
        <v>868</v>
      </c>
      <c r="H66" s="38">
        <v>1971</v>
      </c>
      <c r="I66" s="43" t="s">
        <v>2</v>
      </c>
    </row>
    <row r="67" spans="2:9" x14ac:dyDescent="0.25">
      <c r="B67" s="2" t="s">
        <v>73</v>
      </c>
      <c r="C67" s="2">
        <v>17</v>
      </c>
      <c r="D67" s="2" t="s">
        <v>867</v>
      </c>
      <c r="E67" s="38">
        <v>2020</v>
      </c>
      <c r="F67" s="2">
        <v>29</v>
      </c>
      <c r="G67" s="2" t="s">
        <v>861</v>
      </c>
      <c r="H67" s="38">
        <v>2020</v>
      </c>
      <c r="I67" s="43" t="s">
        <v>2</v>
      </c>
    </row>
    <row r="68" spans="2:9" x14ac:dyDescent="0.25">
      <c r="B68" s="2" t="s">
        <v>74</v>
      </c>
      <c r="C68" s="2">
        <v>17</v>
      </c>
      <c r="D68" s="2" t="s">
        <v>867</v>
      </c>
      <c r="E68" s="38">
        <v>2020</v>
      </c>
      <c r="F68" s="2">
        <v>14</v>
      </c>
      <c r="G68" s="2" t="s">
        <v>867</v>
      </c>
      <c r="H68" s="38">
        <v>2020</v>
      </c>
      <c r="I68" s="43" t="s">
        <v>2</v>
      </c>
    </row>
    <row r="69" spans="2:9" x14ac:dyDescent="0.25">
      <c r="B69" s="2" t="s">
        <v>75</v>
      </c>
      <c r="C69" s="2">
        <v>17</v>
      </c>
      <c r="D69" s="2" t="s">
        <v>867</v>
      </c>
      <c r="E69" s="38">
        <v>2020</v>
      </c>
      <c r="F69" s="2">
        <v>11</v>
      </c>
      <c r="G69" s="2" t="s">
        <v>869</v>
      </c>
      <c r="H69" s="38">
        <v>2019</v>
      </c>
      <c r="I69" s="43" t="s">
        <v>2</v>
      </c>
    </row>
    <row r="70" spans="2:9" x14ac:dyDescent="0.25">
      <c r="B70" s="2" t="s">
        <v>76</v>
      </c>
      <c r="C70" s="2">
        <v>18</v>
      </c>
      <c r="D70" s="2" t="s">
        <v>867</v>
      </c>
      <c r="E70" s="38">
        <v>2020</v>
      </c>
      <c r="F70" s="2">
        <v>18</v>
      </c>
      <c r="G70" s="2" t="s">
        <v>861</v>
      </c>
      <c r="H70" s="38">
        <v>2020</v>
      </c>
      <c r="I70" s="43" t="s">
        <v>3</v>
      </c>
    </row>
    <row r="71" spans="2:9" x14ac:dyDescent="0.25">
      <c r="B71" s="2" t="s">
        <v>77</v>
      </c>
      <c r="C71" s="2">
        <v>19</v>
      </c>
      <c r="D71" s="2" t="s">
        <v>867</v>
      </c>
      <c r="E71" s="38">
        <v>2020</v>
      </c>
      <c r="F71" s="2">
        <v>30</v>
      </c>
      <c r="G71" s="2" t="s">
        <v>864</v>
      </c>
      <c r="H71" s="38">
        <v>2014</v>
      </c>
      <c r="I71" s="43" t="s">
        <v>3</v>
      </c>
    </row>
    <row r="72" spans="2:9" x14ac:dyDescent="0.25">
      <c r="B72" s="2" t="s">
        <v>78</v>
      </c>
      <c r="C72" s="2">
        <v>20</v>
      </c>
      <c r="D72" s="2" t="s">
        <v>867</v>
      </c>
      <c r="E72" s="38">
        <v>2020</v>
      </c>
      <c r="F72" s="2">
        <v>8</v>
      </c>
      <c r="G72" s="2" t="s">
        <v>864</v>
      </c>
      <c r="H72" s="38">
        <v>2019</v>
      </c>
      <c r="I72" s="43" t="s">
        <v>3</v>
      </c>
    </row>
    <row r="73" spans="2:9" x14ac:dyDescent="0.25">
      <c r="B73" s="2" t="s">
        <v>79</v>
      </c>
      <c r="C73" s="2">
        <v>24</v>
      </c>
      <c r="D73" s="2" t="s">
        <v>867</v>
      </c>
      <c r="E73" s="38">
        <v>2020</v>
      </c>
      <c r="F73" s="2">
        <v>21</v>
      </c>
      <c r="G73" s="2" t="s">
        <v>861</v>
      </c>
      <c r="H73" s="38">
        <v>2020</v>
      </c>
      <c r="I73" s="43" t="s">
        <v>2</v>
      </c>
    </row>
    <row r="74" spans="2:9" x14ac:dyDescent="0.25">
      <c r="B74" s="2" t="s">
        <v>80</v>
      </c>
      <c r="C74" s="2">
        <v>24</v>
      </c>
      <c r="D74" s="2" t="s">
        <v>867</v>
      </c>
      <c r="E74" s="38">
        <v>2020</v>
      </c>
      <c r="F74" s="2">
        <v>9</v>
      </c>
      <c r="G74" s="2" t="s">
        <v>867</v>
      </c>
      <c r="H74" s="38">
        <v>2020</v>
      </c>
      <c r="I74" s="43" t="s">
        <v>3</v>
      </c>
    </row>
    <row r="75" spans="2:9" x14ac:dyDescent="0.25">
      <c r="B75" s="2" t="s">
        <v>81</v>
      </c>
      <c r="C75" s="2">
        <v>27</v>
      </c>
      <c r="D75" s="2" t="s">
        <v>867</v>
      </c>
      <c r="E75" s="38">
        <v>2020</v>
      </c>
      <c r="F75" s="2">
        <v>10</v>
      </c>
      <c r="G75" s="2" t="s">
        <v>856</v>
      </c>
      <c r="H75" s="38">
        <v>2020</v>
      </c>
      <c r="I75" s="43" t="s">
        <v>3</v>
      </c>
    </row>
    <row r="76" spans="2:9" x14ac:dyDescent="0.25">
      <c r="B76" s="2" t="s">
        <v>82</v>
      </c>
      <c r="C76" s="2">
        <v>27</v>
      </c>
      <c r="D76" s="2" t="s">
        <v>867</v>
      </c>
      <c r="E76" s="38">
        <v>2020</v>
      </c>
      <c r="F76" s="2">
        <v>13</v>
      </c>
      <c r="G76" s="2" t="s">
        <v>856</v>
      </c>
      <c r="H76" s="38">
        <v>2020</v>
      </c>
      <c r="I76" s="43" t="s">
        <v>3</v>
      </c>
    </row>
    <row r="77" spans="2:9" x14ac:dyDescent="0.25">
      <c r="B77" s="2" t="s">
        <v>83</v>
      </c>
      <c r="C77" s="2">
        <v>30</v>
      </c>
      <c r="D77" s="2" t="s">
        <v>867</v>
      </c>
      <c r="E77" s="38">
        <v>2020</v>
      </c>
      <c r="F77" s="2">
        <v>25</v>
      </c>
      <c r="G77" s="2" t="s">
        <v>858</v>
      </c>
      <c r="H77" s="38">
        <v>2019</v>
      </c>
      <c r="I77" s="43" t="s">
        <v>2</v>
      </c>
    </row>
    <row r="78" spans="2:9" x14ac:dyDescent="0.25">
      <c r="B78" s="2" t="s">
        <v>84</v>
      </c>
      <c r="C78" s="2">
        <v>31</v>
      </c>
      <c r="D78" s="2" t="s">
        <v>867</v>
      </c>
      <c r="E78" s="38">
        <v>2020</v>
      </c>
      <c r="F78" s="2">
        <v>27</v>
      </c>
      <c r="G78" s="2" t="s">
        <v>867</v>
      </c>
      <c r="H78" s="38">
        <v>20202</v>
      </c>
      <c r="I78" s="43" t="s">
        <v>2</v>
      </c>
    </row>
    <row r="79" spans="2:9" x14ac:dyDescent="0.25">
      <c r="B79" s="2" t="s">
        <v>85</v>
      </c>
      <c r="C79" s="2">
        <v>31</v>
      </c>
      <c r="D79" s="2" t="s">
        <v>867</v>
      </c>
      <c r="E79" s="38">
        <v>2020</v>
      </c>
      <c r="F79" s="2">
        <v>10</v>
      </c>
      <c r="G79" s="2" t="s">
        <v>867</v>
      </c>
      <c r="H79" s="38">
        <v>2020</v>
      </c>
      <c r="I79" s="43" t="s">
        <v>2</v>
      </c>
    </row>
    <row r="80" spans="2:9" x14ac:dyDescent="0.25">
      <c r="B80" s="2" t="s">
        <v>86</v>
      </c>
      <c r="C80" s="2">
        <v>31</v>
      </c>
      <c r="D80" s="2" t="s">
        <v>867</v>
      </c>
      <c r="E80" s="38">
        <v>2020</v>
      </c>
      <c r="F80" s="2">
        <v>27</v>
      </c>
      <c r="G80" s="2" t="s">
        <v>867</v>
      </c>
      <c r="H80" s="38">
        <v>2020</v>
      </c>
      <c r="I80" s="43" t="s">
        <v>3</v>
      </c>
    </row>
    <row r="81" spans="2:9" x14ac:dyDescent="0.25">
      <c r="B81" s="2" t="s">
        <v>87</v>
      </c>
      <c r="C81" s="2">
        <v>31</v>
      </c>
      <c r="D81" s="2" t="s">
        <v>867</v>
      </c>
      <c r="E81" s="38">
        <v>2020</v>
      </c>
      <c r="F81" s="2">
        <v>4</v>
      </c>
      <c r="G81" s="2" t="s">
        <v>868</v>
      </c>
      <c r="H81" s="38">
        <v>2019</v>
      </c>
      <c r="I81" s="43" t="s">
        <v>2</v>
      </c>
    </row>
    <row r="82" spans="2:9" x14ac:dyDescent="0.25">
      <c r="B82" s="2" t="s">
        <v>88</v>
      </c>
      <c r="C82" s="2">
        <v>31</v>
      </c>
      <c r="D82" s="2" t="s">
        <v>867</v>
      </c>
      <c r="E82" s="38">
        <v>2020</v>
      </c>
      <c r="F82" s="2">
        <v>5</v>
      </c>
      <c r="G82" s="2" t="s">
        <v>867</v>
      </c>
      <c r="H82" s="38">
        <v>20202</v>
      </c>
      <c r="I82" s="43" t="s">
        <v>2</v>
      </c>
    </row>
    <row r="83" spans="2:9" x14ac:dyDescent="0.25">
      <c r="B83" s="2" t="s">
        <v>89</v>
      </c>
      <c r="C83" s="2">
        <v>1</v>
      </c>
      <c r="D83" s="2" t="s">
        <v>865</v>
      </c>
      <c r="E83" s="38">
        <v>2020</v>
      </c>
      <c r="F83" s="2">
        <v>5</v>
      </c>
      <c r="G83" s="2" t="s">
        <v>867</v>
      </c>
      <c r="H83" s="39">
        <v>2020</v>
      </c>
      <c r="I83" s="44" t="s">
        <v>2</v>
      </c>
    </row>
    <row r="84" spans="2:9" x14ac:dyDescent="0.25">
      <c r="B84" s="2" t="s">
        <v>90</v>
      </c>
      <c r="C84" s="2">
        <v>1</v>
      </c>
      <c r="D84" s="2" t="s">
        <v>865</v>
      </c>
      <c r="E84" s="38">
        <v>2020</v>
      </c>
      <c r="F84" s="2">
        <v>16</v>
      </c>
      <c r="G84" s="2" t="s">
        <v>867</v>
      </c>
      <c r="H84" s="38">
        <v>2020</v>
      </c>
      <c r="I84" s="43" t="s">
        <v>2</v>
      </c>
    </row>
    <row r="85" spans="2:9" x14ac:dyDescent="0.25">
      <c r="B85" s="2" t="s">
        <v>91</v>
      </c>
      <c r="C85" s="2">
        <v>2</v>
      </c>
      <c r="D85" s="2" t="s">
        <v>865</v>
      </c>
      <c r="E85" s="38">
        <v>2020</v>
      </c>
      <c r="F85" s="2">
        <v>25</v>
      </c>
      <c r="G85" s="2" t="s">
        <v>867</v>
      </c>
      <c r="H85" s="38">
        <v>2020</v>
      </c>
      <c r="I85" s="43" t="s">
        <v>2</v>
      </c>
    </row>
    <row r="86" spans="2:9" x14ac:dyDescent="0.25">
      <c r="B86" s="2" t="s">
        <v>92</v>
      </c>
      <c r="C86" s="2">
        <v>3</v>
      </c>
      <c r="D86" s="2" t="s">
        <v>865</v>
      </c>
      <c r="E86" s="38">
        <v>2020</v>
      </c>
      <c r="F86" s="2">
        <v>21</v>
      </c>
      <c r="G86" s="2" t="s">
        <v>856</v>
      </c>
      <c r="H86" s="38">
        <v>2020</v>
      </c>
      <c r="I86" s="43" t="s">
        <v>3</v>
      </c>
    </row>
    <row r="87" spans="2:9" x14ac:dyDescent="0.25">
      <c r="B87" s="2" t="s">
        <v>93</v>
      </c>
      <c r="C87" s="2">
        <v>3</v>
      </c>
      <c r="D87" s="2" t="s">
        <v>865</v>
      </c>
      <c r="E87" s="38">
        <v>2020</v>
      </c>
      <c r="F87" s="2">
        <v>21</v>
      </c>
      <c r="G87" s="2" t="s">
        <v>867</v>
      </c>
      <c r="H87" s="38">
        <v>2020</v>
      </c>
      <c r="I87" s="43" t="s">
        <v>2</v>
      </c>
    </row>
    <row r="88" spans="2:9" x14ac:dyDescent="0.25">
      <c r="B88" s="2" t="s">
        <v>94</v>
      </c>
      <c r="C88" s="2">
        <v>16</v>
      </c>
      <c r="D88" s="2" t="s">
        <v>865</v>
      </c>
      <c r="E88" s="38">
        <v>2020</v>
      </c>
      <c r="F88" s="2">
        <v>21</v>
      </c>
      <c r="G88" s="2" t="s">
        <v>867</v>
      </c>
      <c r="H88" s="38">
        <v>2020</v>
      </c>
      <c r="I88" s="43" t="s">
        <v>2</v>
      </c>
    </row>
    <row r="89" spans="2:9" x14ac:dyDescent="0.25">
      <c r="B89" s="2" t="s">
        <v>95</v>
      </c>
      <c r="C89" s="2">
        <v>21</v>
      </c>
      <c r="D89" s="2" t="s">
        <v>865</v>
      </c>
      <c r="E89" s="38">
        <v>2020</v>
      </c>
      <c r="F89" s="2">
        <v>9</v>
      </c>
      <c r="G89" s="2" t="s">
        <v>865</v>
      </c>
      <c r="H89" s="38">
        <v>2020</v>
      </c>
      <c r="I89" s="43" t="s">
        <v>3</v>
      </c>
    </row>
    <row r="90" spans="2:9" x14ac:dyDescent="0.25">
      <c r="B90" s="2" t="s">
        <v>96</v>
      </c>
      <c r="C90" s="2">
        <v>22</v>
      </c>
      <c r="D90" s="2" t="s">
        <v>865</v>
      </c>
      <c r="E90" s="38">
        <v>2020</v>
      </c>
      <c r="F90" s="2">
        <v>22</v>
      </c>
      <c r="G90" s="2" t="s">
        <v>856</v>
      </c>
      <c r="H90" s="38">
        <v>2019</v>
      </c>
      <c r="I90" s="43" t="s">
        <v>2</v>
      </c>
    </row>
    <row r="91" spans="2:9" x14ac:dyDescent="0.25">
      <c r="B91" s="2" t="s">
        <v>97</v>
      </c>
      <c r="C91" s="2">
        <v>23</v>
      </c>
      <c r="D91" s="2" t="s">
        <v>865</v>
      </c>
      <c r="E91" s="38">
        <v>2020</v>
      </c>
      <c r="F91" s="2">
        <v>6</v>
      </c>
      <c r="G91" s="2" t="s">
        <v>856</v>
      </c>
      <c r="H91" s="38">
        <v>2017</v>
      </c>
      <c r="I91" s="43" t="s">
        <v>2</v>
      </c>
    </row>
    <row r="92" spans="2:9" x14ac:dyDescent="0.25">
      <c r="B92" s="2" t="s">
        <v>98</v>
      </c>
      <c r="C92" s="2">
        <v>23</v>
      </c>
      <c r="D92" s="2" t="s">
        <v>865</v>
      </c>
      <c r="E92" s="38">
        <v>2020</v>
      </c>
      <c r="F92" s="2">
        <v>23</v>
      </c>
      <c r="G92" s="2" t="s">
        <v>867</v>
      </c>
      <c r="H92" s="38">
        <v>2020</v>
      </c>
      <c r="I92" s="43" t="s">
        <v>3</v>
      </c>
    </row>
    <row r="93" spans="2:9" x14ac:dyDescent="0.25">
      <c r="B93" s="2" t="s">
        <v>99</v>
      </c>
      <c r="C93" s="2">
        <v>23</v>
      </c>
      <c r="D93" s="2" t="s">
        <v>865</v>
      </c>
      <c r="E93" s="38">
        <v>2020</v>
      </c>
      <c r="F93" s="2">
        <v>31</v>
      </c>
      <c r="G93" s="2" t="s">
        <v>867</v>
      </c>
      <c r="H93" s="38">
        <v>2020</v>
      </c>
      <c r="I93" s="43" t="s">
        <v>3</v>
      </c>
    </row>
    <row r="94" spans="2:9" x14ac:dyDescent="0.25">
      <c r="B94" s="2" t="s">
        <v>100</v>
      </c>
      <c r="C94" s="2">
        <v>23</v>
      </c>
      <c r="D94" s="2" t="s">
        <v>865</v>
      </c>
      <c r="E94" s="38">
        <v>2020</v>
      </c>
      <c r="F94" s="2">
        <v>7</v>
      </c>
      <c r="G94" s="2" t="s">
        <v>865</v>
      </c>
      <c r="H94" s="38">
        <v>2020</v>
      </c>
      <c r="I94" s="43" t="s">
        <v>2</v>
      </c>
    </row>
    <row r="95" spans="2:9" x14ac:dyDescent="0.25">
      <c r="B95" s="2" t="s">
        <v>101</v>
      </c>
      <c r="C95" s="2">
        <v>24</v>
      </c>
      <c r="D95" s="2" t="s">
        <v>865</v>
      </c>
      <c r="E95" s="38">
        <v>2020</v>
      </c>
      <c r="F95" s="2">
        <v>16</v>
      </c>
      <c r="G95" s="2" t="s">
        <v>866</v>
      </c>
      <c r="H95" s="38">
        <v>2019</v>
      </c>
      <c r="I95" s="43" t="s">
        <v>3</v>
      </c>
    </row>
    <row r="96" spans="2:9" x14ac:dyDescent="0.25">
      <c r="B96" s="2" t="s">
        <v>102</v>
      </c>
      <c r="C96" s="2">
        <v>27</v>
      </c>
      <c r="D96" s="2" t="s">
        <v>865</v>
      </c>
      <c r="E96" s="38">
        <v>2020</v>
      </c>
      <c r="F96" s="2">
        <v>17</v>
      </c>
      <c r="G96" s="2" t="s">
        <v>861</v>
      </c>
      <c r="H96" s="38">
        <v>2018</v>
      </c>
      <c r="I96" s="43" t="s">
        <v>3</v>
      </c>
    </row>
    <row r="97" spans="2:9" x14ac:dyDescent="0.25">
      <c r="B97" s="2" t="s">
        <v>103</v>
      </c>
      <c r="C97" s="2">
        <v>28</v>
      </c>
      <c r="D97" s="2" t="s">
        <v>865</v>
      </c>
      <c r="E97" s="38">
        <v>2020</v>
      </c>
      <c r="F97" s="2">
        <v>12</v>
      </c>
      <c r="G97" s="2" t="s">
        <v>867</v>
      </c>
      <c r="H97" s="38">
        <v>2020</v>
      </c>
      <c r="I97" s="43" t="s">
        <v>3</v>
      </c>
    </row>
    <row r="98" spans="2:9" x14ac:dyDescent="0.25">
      <c r="B98" s="2" t="s">
        <v>104</v>
      </c>
      <c r="C98" s="2">
        <v>28</v>
      </c>
      <c r="D98" s="2" t="s">
        <v>865</v>
      </c>
      <c r="E98" s="38">
        <v>2020</v>
      </c>
      <c r="F98" s="2">
        <v>13</v>
      </c>
      <c r="G98" s="2" t="s">
        <v>858</v>
      </c>
      <c r="H98" s="38">
        <v>2019</v>
      </c>
      <c r="I98" s="43" t="s">
        <v>3</v>
      </c>
    </row>
    <row r="99" spans="2:9" x14ac:dyDescent="0.25">
      <c r="B99" s="2" t="s">
        <v>105</v>
      </c>
      <c r="C99" s="2">
        <v>28</v>
      </c>
      <c r="D99" s="2" t="s">
        <v>865</v>
      </c>
      <c r="E99" s="38">
        <v>2020</v>
      </c>
      <c r="F99" s="2">
        <v>5</v>
      </c>
      <c r="G99" s="2" t="s">
        <v>857</v>
      </c>
      <c r="H99" s="38">
        <v>2019</v>
      </c>
      <c r="I99" s="43" t="s">
        <v>2</v>
      </c>
    </row>
    <row r="100" spans="2:9" x14ac:dyDescent="0.25">
      <c r="B100" s="2" t="s">
        <v>106</v>
      </c>
      <c r="C100" s="2">
        <v>28</v>
      </c>
      <c r="D100" s="2" t="s">
        <v>865</v>
      </c>
      <c r="E100" s="38">
        <v>2020</v>
      </c>
      <c r="F100" s="2">
        <v>14</v>
      </c>
      <c r="G100" s="2" t="s">
        <v>865</v>
      </c>
      <c r="H100" s="38">
        <v>2020</v>
      </c>
      <c r="I100" s="43" t="s">
        <v>2</v>
      </c>
    </row>
    <row r="101" spans="2:9" x14ac:dyDescent="0.25">
      <c r="B101" s="2" t="s">
        <v>107</v>
      </c>
      <c r="C101" s="2">
        <v>28</v>
      </c>
      <c r="D101" s="2" t="s">
        <v>865</v>
      </c>
      <c r="E101" s="38">
        <v>2020</v>
      </c>
      <c r="F101" s="2">
        <v>11</v>
      </c>
      <c r="G101" s="2" t="s">
        <v>858</v>
      </c>
      <c r="H101" s="38">
        <v>2019</v>
      </c>
      <c r="I101" s="43" t="s">
        <v>3</v>
      </c>
    </row>
    <row r="102" spans="2:9" x14ac:dyDescent="0.25">
      <c r="B102" s="2" t="s">
        <v>108</v>
      </c>
      <c r="C102" s="2">
        <v>28</v>
      </c>
      <c r="D102" s="2" t="s">
        <v>865</v>
      </c>
      <c r="E102" s="38">
        <v>2020</v>
      </c>
      <c r="F102" s="2">
        <v>18</v>
      </c>
      <c r="G102" s="2" t="s">
        <v>865</v>
      </c>
      <c r="H102" s="38">
        <v>2020</v>
      </c>
      <c r="I102" s="43" t="s">
        <v>3</v>
      </c>
    </row>
    <row r="103" spans="2:9" x14ac:dyDescent="0.25">
      <c r="B103" s="2" t="s">
        <v>109</v>
      </c>
      <c r="C103" s="2">
        <v>28</v>
      </c>
      <c r="D103" s="2" t="s">
        <v>865</v>
      </c>
      <c r="E103" s="38">
        <v>2020</v>
      </c>
      <c r="F103" s="2">
        <v>1</v>
      </c>
      <c r="G103" s="2" t="s">
        <v>865</v>
      </c>
      <c r="H103" s="38">
        <v>2020</v>
      </c>
      <c r="I103" s="43" t="s">
        <v>2</v>
      </c>
    </row>
    <row r="104" spans="2:9" x14ac:dyDescent="0.25">
      <c r="B104" s="2" t="s">
        <v>110</v>
      </c>
      <c r="C104" s="2">
        <v>28</v>
      </c>
      <c r="D104" s="2" t="s">
        <v>865</v>
      </c>
      <c r="E104" s="38">
        <v>2020</v>
      </c>
      <c r="F104" s="2">
        <v>3</v>
      </c>
      <c r="G104" s="2" t="s">
        <v>865</v>
      </c>
      <c r="H104" s="38">
        <v>2020</v>
      </c>
      <c r="I104" s="43" t="s">
        <v>2</v>
      </c>
    </row>
    <row r="105" spans="2:9" x14ac:dyDescent="0.25">
      <c r="B105" s="2" t="s">
        <v>111</v>
      </c>
      <c r="C105" s="2">
        <v>28</v>
      </c>
      <c r="D105" s="2" t="s">
        <v>865</v>
      </c>
      <c r="E105" s="38">
        <v>2020</v>
      </c>
      <c r="F105" s="2">
        <v>18</v>
      </c>
      <c r="G105" s="2" t="s">
        <v>861</v>
      </c>
      <c r="H105" s="38">
        <v>2020</v>
      </c>
      <c r="I105" s="43" t="s">
        <v>2</v>
      </c>
    </row>
    <row r="106" spans="2:9" x14ac:dyDescent="0.25">
      <c r="B106" s="2" t="s">
        <v>112</v>
      </c>
      <c r="C106" s="2">
        <v>30</v>
      </c>
      <c r="D106" s="2" t="s">
        <v>865</v>
      </c>
      <c r="E106" s="38">
        <v>2020</v>
      </c>
      <c r="F106" s="2">
        <v>15</v>
      </c>
      <c r="G106" s="2" t="s">
        <v>865</v>
      </c>
      <c r="H106" s="38">
        <v>2020</v>
      </c>
      <c r="I106" s="43" t="s">
        <v>2</v>
      </c>
    </row>
    <row r="107" spans="2:9" x14ac:dyDescent="0.25">
      <c r="B107" s="2" t="s">
        <v>113</v>
      </c>
      <c r="C107" s="2">
        <v>30</v>
      </c>
      <c r="D107" s="2" t="s">
        <v>865</v>
      </c>
      <c r="E107" s="38">
        <v>2020</v>
      </c>
      <c r="F107" s="2">
        <v>17</v>
      </c>
      <c r="G107" s="2" t="s">
        <v>858</v>
      </c>
      <c r="H107" s="38">
        <v>2019</v>
      </c>
      <c r="I107" s="43" t="s">
        <v>3</v>
      </c>
    </row>
    <row r="108" spans="2:9" x14ac:dyDescent="0.25">
      <c r="B108" s="2" t="s">
        <v>114</v>
      </c>
      <c r="C108" s="2">
        <v>30</v>
      </c>
      <c r="D108" s="2" t="s">
        <v>865</v>
      </c>
      <c r="E108" s="38">
        <v>2020</v>
      </c>
      <c r="F108" s="2">
        <v>7</v>
      </c>
      <c r="G108" s="2" t="s">
        <v>865</v>
      </c>
      <c r="H108" s="38">
        <v>20202</v>
      </c>
      <c r="I108" s="43" t="s">
        <v>3</v>
      </c>
    </row>
    <row r="109" spans="2:9" x14ac:dyDescent="0.25">
      <c r="B109" s="2" t="s">
        <v>115</v>
      </c>
      <c r="C109" s="2">
        <v>4</v>
      </c>
      <c r="D109" s="2" t="s">
        <v>866</v>
      </c>
      <c r="E109" s="38">
        <v>2020</v>
      </c>
      <c r="F109" s="2">
        <v>30</v>
      </c>
      <c r="G109" s="2" t="s">
        <v>865</v>
      </c>
      <c r="H109" s="38">
        <v>2020</v>
      </c>
      <c r="I109" s="43" t="s">
        <v>3</v>
      </c>
    </row>
    <row r="110" spans="2:9" x14ac:dyDescent="0.25">
      <c r="B110" s="2" t="s">
        <v>116</v>
      </c>
      <c r="C110" s="2">
        <v>4</v>
      </c>
      <c r="D110" s="2" t="s">
        <v>866</v>
      </c>
      <c r="E110" s="38">
        <v>2020</v>
      </c>
      <c r="F110" s="2">
        <v>16</v>
      </c>
      <c r="G110" s="2" t="s">
        <v>870</v>
      </c>
      <c r="H110" s="38">
        <v>2018</v>
      </c>
      <c r="I110" s="43" t="s">
        <v>2</v>
      </c>
    </row>
    <row r="111" spans="2:9" x14ac:dyDescent="0.25">
      <c r="B111" s="2" t="s">
        <v>117</v>
      </c>
      <c r="C111" s="2">
        <v>5</v>
      </c>
      <c r="D111" s="2" t="s">
        <v>866</v>
      </c>
      <c r="E111" s="38">
        <v>2020</v>
      </c>
      <c r="F111" s="2">
        <v>8</v>
      </c>
      <c r="G111" s="2" t="s">
        <v>865</v>
      </c>
      <c r="H111" s="38">
        <v>2020</v>
      </c>
      <c r="I111" s="43" t="s">
        <v>2</v>
      </c>
    </row>
    <row r="112" spans="2:9" x14ac:dyDescent="0.25">
      <c r="B112" s="2" t="s">
        <v>118</v>
      </c>
      <c r="C112" s="2">
        <v>7</v>
      </c>
      <c r="D112" s="2" t="s">
        <v>866</v>
      </c>
      <c r="E112" s="38">
        <v>2020</v>
      </c>
      <c r="F112" s="2">
        <v>30</v>
      </c>
      <c r="G112" s="2" t="s">
        <v>865</v>
      </c>
      <c r="H112" s="38">
        <v>2020</v>
      </c>
      <c r="I112" s="43" t="s">
        <v>2</v>
      </c>
    </row>
    <row r="113" spans="2:9" x14ac:dyDescent="0.25">
      <c r="B113" s="2" t="s">
        <v>119</v>
      </c>
      <c r="C113" s="2">
        <v>7</v>
      </c>
      <c r="D113" s="2" t="s">
        <v>866</v>
      </c>
      <c r="E113" s="38">
        <v>2020</v>
      </c>
      <c r="F113" s="2">
        <v>15</v>
      </c>
      <c r="G113" s="2" t="s">
        <v>867</v>
      </c>
      <c r="H113" s="38">
        <v>2020</v>
      </c>
      <c r="I113" s="43" t="s">
        <v>3</v>
      </c>
    </row>
    <row r="114" spans="2:9" x14ac:dyDescent="0.25">
      <c r="B114" s="2" t="s">
        <v>120</v>
      </c>
      <c r="C114" s="2">
        <v>19</v>
      </c>
      <c r="D114" s="2" t="s">
        <v>866</v>
      </c>
      <c r="E114" s="38">
        <v>2020</v>
      </c>
      <c r="F114" s="2">
        <v>13</v>
      </c>
      <c r="G114" s="2" t="s">
        <v>866</v>
      </c>
      <c r="H114" s="38">
        <v>2020</v>
      </c>
      <c r="I114" s="43" t="s">
        <v>2</v>
      </c>
    </row>
    <row r="115" spans="2:9" x14ac:dyDescent="0.25">
      <c r="B115" s="2" t="s">
        <v>121</v>
      </c>
      <c r="C115" s="2">
        <v>19</v>
      </c>
      <c r="D115" s="2" t="s">
        <v>866</v>
      </c>
      <c r="E115" s="38">
        <v>2020</v>
      </c>
      <c r="F115" s="2">
        <v>2</v>
      </c>
      <c r="G115" s="2" t="s">
        <v>866</v>
      </c>
      <c r="H115" s="38">
        <v>2020</v>
      </c>
      <c r="I115" s="43" t="s">
        <v>3</v>
      </c>
    </row>
    <row r="116" spans="2:9" x14ac:dyDescent="0.25">
      <c r="B116" s="2" t="s">
        <v>122</v>
      </c>
      <c r="C116" s="2">
        <v>19</v>
      </c>
      <c r="D116" s="2" t="s">
        <v>866</v>
      </c>
      <c r="E116" s="38">
        <v>2020</v>
      </c>
      <c r="F116" s="2">
        <v>11</v>
      </c>
      <c r="G116" s="2" t="s">
        <v>866</v>
      </c>
      <c r="H116" s="38">
        <v>2020</v>
      </c>
      <c r="I116" s="43" t="s">
        <v>3</v>
      </c>
    </row>
    <row r="117" spans="2:9" x14ac:dyDescent="0.25">
      <c r="B117" s="2" t="s">
        <v>123</v>
      </c>
      <c r="C117" s="2">
        <v>19</v>
      </c>
      <c r="D117" s="2" t="s">
        <v>866</v>
      </c>
      <c r="E117" s="38">
        <v>2020</v>
      </c>
      <c r="F117" s="2">
        <v>27</v>
      </c>
      <c r="G117" s="2" t="s">
        <v>865</v>
      </c>
      <c r="H117" s="38">
        <v>2020</v>
      </c>
      <c r="I117" s="43" t="s">
        <v>2</v>
      </c>
    </row>
    <row r="118" spans="2:9" x14ac:dyDescent="0.25">
      <c r="B118" s="2" t="s">
        <v>124</v>
      </c>
      <c r="C118" s="2">
        <v>21</v>
      </c>
      <c r="D118" s="2" t="s">
        <v>866</v>
      </c>
      <c r="E118" s="38">
        <v>2020</v>
      </c>
      <c r="F118" s="2">
        <v>2</v>
      </c>
      <c r="G118" s="2" t="s">
        <v>865</v>
      </c>
      <c r="H118" s="38">
        <v>2020</v>
      </c>
      <c r="I118" s="43" t="s">
        <v>3</v>
      </c>
    </row>
    <row r="119" spans="2:9" x14ac:dyDescent="0.25">
      <c r="B119" s="2" t="s">
        <v>125</v>
      </c>
      <c r="C119" s="2">
        <v>26</v>
      </c>
      <c r="D119" s="2" t="s">
        <v>866</v>
      </c>
      <c r="E119" s="38">
        <v>2020</v>
      </c>
      <c r="F119" s="2">
        <v>24</v>
      </c>
      <c r="G119" s="2" t="s">
        <v>865</v>
      </c>
      <c r="H119" s="38">
        <v>2020</v>
      </c>
      <c r="I119" s="43" t="s">
        <v>2</v>
      </c>
    </row>
    <row r="120" spans="2:9" x14ac:dyDescent="0.25">
      <c r="B120" s="2" t="s">
        <v>126</v>
      </c>
      <c r="C120" s="2">
        <v>26</v>
      </c>
      <c r="D120" s="2" t="s">
        <v>866</v>
      </c>
      <c r="E120" s="38">
        <v>2020</v>
      </c>
      <c r="F120" s="2">
        <v>14</v>
      </c>
      <c r="G120" s="2" t="s">
        <v>865</v>
      </c>
      <c r="H120" s="38">
        <v>2020</v>
      </c>
      <c r="I120" s="43" t="s">
        <v>2</v>
      </c>
    </row>
    <row r="121" spans="2:9" x14ac:dyDescent="0.25">
      <c r="B121" s="2" t="s">
        <v>127</v>
      </c>
      <c r="C121" s="2">
        <v>26</v>
      </c>
      <c r="D121" s="2" t="s">
        <v>866</v>
      </c>
      <c r="E121" s="38">
        <v>2020</v>
      </c>
      <c r="F121" s="2">
        <v>27</v>
      </c>
      <c r="G121" s="2" t="s">
        <v>863</v>
      </c>
      <c r="H121" s="38">
        <v>2017</v>
      </c>
      <c r="I121" s="43" t="s">
        <v>3</v>
      </c>
    </row>
    <row r="122" spans="2:9" x14ac:dyDescent="0.25">
      <c r="B122" s="2" t="s">
        <v>128</v>
      </c>
      <c r="C122" s="2">
        <v>26</v>
      </c>
      <c r="D122" s="2" t="s">
        <v>866</v>
      </c>
      <c r="E122" s="38">
        <v>2020</v>
      </c>
      <c r="F122" s="2">
        <v>25</v>
      </c>
      <c r="G122" s="2" t="s">
        <v>866</v>
      </c>
      <c r="H122" s="38">
        <v>20202</v>
      </c>
      <c r="I122" s="43" t="s">
        <v>2</v>
      </c>
    </row>
    <row r="123" spans="2:9" x14ac:dyDescent="0.25">
      <c r="B123" s="2" t="s">
        <v>129</v>
      </c>
      <c r="C123" s="2">
        <v>26</v>
      </c>
      <c r="D123" s="2" t="s">
        <v>866</v>
      </c>
      <c r="E123" s="38">
        <v>2020</v>
      </c>
      <c r="F123" s="2">
        <v>20</v>
      </c>
      <c r="G123" s="2" t="s">
        <v>866</v>
      </c>
      <c r="H123" s="38">
        <v>2020</v>
      </c>
      <c r="I123" s="43" t="s">
        <v>2</v>
      </c>
    </row>
    <row r="124" spans="2:9" x14ac:dyDescent="0.25">
      <c r="B124" s="2" t="s">
        <v>130</v>
      </c>
      <c r="C124" s="2">
        <v>28</v>
      </c>
      <c r="D124" s="2" t="s">
        <v>866</v>
      </c>
      <c r="E124" s="38">
        <v>2020</v>
      </c>
      <c r="F124" s="2">
        <v>2</v>
      </c>
      <c r="G124" s="2" t="s">
        <v>863</v>
      </c>
      <c r="H124" s="38">
        <v>2017</v>
      </c>
      <c r="I124" s="43" t="s">
        <v>2</v>
      </c>
    </row>
    <row r="125" spans="2:9" x14ac:dyDescent="0.25">
      <c r="B125" s="2" t="s">
        <v>131</v>
      </c>
      <c r="C125" s="2">
        <v>1</v>
      </c>
      <c r="D125" s="2" t="s">
        <v>868</v>
      </c>
      <c r="E125" s="38">
        <v>2020</v>
      </c>
      <c r="F125" s="2">
        <v>1</v>
      </c>
      <c r="G125" s="2" t="s">
        <v>868</v>
      </c>
      <c r="H125" s="38">
        <v>2018</v>
      </c>
      <c r="I125" s="43" t="s">
        <v>2</v>
      </c>
    </row>
    <row r="126" spans="2:9" x14ac:dyDescent="0.25">
      <c r="B126" s="2" t="s">
        <v>132</v>
      </c>
      <c r="C126" s="2">
        <v>2</v>
      </c>
      <c r="D126" s="2" t="s">
        <v>868</v>
      </c>
      <c r="E126" s="38">
        <v>2020</v>
      </c>
      <c r="F126" s="2">
        <v>15</v>
      </c>
      <c r="G126" s="2" t="s">
        <v>866</v>
      </c>
      <c r="H126" s="38">
        <v>2020</v>
      </c>
      <c r="I126" s="43" t="s">
        <v>2</v>
      </c>
    </row>
    <row r="127" spans="2:9" x14ac:dyDescent="0.25">
      <c r="B127" s="2" t="s">
        <v>133</v>
      </c>
      <c r="C127" s="2">
        <v>2</v>
      </c>
      <c r="D127" s="2" t="s">
        <v>868</v>
      </c>
      <c r="E127" s="38">
        <v>2020</v>
      </c>
      <c r="F127" s="2">
        <v>8</v>
      </c>
      <c r="G127" s="2" t="s">
        <v>864</v>
      </c>
      <c r="H127" s="38">
        <v>2019</v>
      </c>
      <c r="I127" s="43" t="s">
        <v>2</v>
      </c>
    </row>
    <row r="128" spans="2:9" x14ac:dyDescent="0.25">
      <c r="B128" s="2" t="s">
        <v>134</v>
      </c>
      <c r="C128" s="2">
        <v>2</v>
      </c>
      <c r="D128" s="2" t="s">
        <v>868</v>
      </c>
      <c r="E128" s="38">
        <v>2020</v>
      </c>
      <c r="F128" s="2">
        <v>14</v>
      </c>
      <c r="G128" s="2" t="s">
        <v>866</v>
      </c>
      <c r="H128" s="38">
        <v>2020</v>
      </c>
      <c r="I128" s="43" t="s">
        <v>3</v>
      </c>
    </row>
    <row r="129" spans="2:9" x14ac:dyDescent="0.25">
      <c r="B129" s="2" t="s">
        <v>135</v>
      </c>
      <c r="C129" s="2">
        <v>2</v>
      </c>
      <c r="D129" s="2" t="s">
        <v>868</v>
      </c>
      <c r="E129" s="38">
        <v>2020</v>
      </c>
      <c r="F129" s="2">
        <v>26</v>
      </c>
      <c r="G129" s="2" t="s">
        <v>866</v>
      </c>
      <c r="H129" s="38">
        <v>2020</v>
      </c>
      <c r="I129" s="43" t="s">
        <v>3</v>
      </c>
    </row>
    <row r="130" spans="2:9" x14ac:dyDescent="0.25">
      <c r="B130" s="2" t="s">
        <v>136</v>
      </c>
      <c r="C130" s="2">
        <v>9</v>
      </c>
      <c r="D130" s="2" t="s">
        <v>868</v>
      </c>
      <c r="E130" s="38">
        <v>2020</v>
      </c>
      <c r="F130" s="2">
        <v>16</v>
      </c>
      <c r="G130" s="2" t="s">
        <v>866</v>
      </c>
      <c r="H130" s="38">
        <v>2020</v>
      </c>
      <c r="I130" s="43" t="s">
        <v>3</v>
      </c>
    </row>
    <row r="131" spans="2:9" x14ac:dyDescent="0.25">
      <c r="B131" s="2" t="s">
        <v>137</v>
      </c>
      <c r="C131" s="2">
        <v>10</v>
      </c>
      <c r="D131" s="2" t="s">
        <v>868</v>
      </c>
      <c r="E131" s="38">
        <v>2020</v>
      </c>
      <c r="F131" s="2">
        <v>1</v>
      </c>
      <c r="G131" s="2" t="s">
        <v>866</v>
      </c>
      <c r="H131" s="38">
        <v>2020</v>
      </c>
      <c r="I131" s="43" t="s">
        <v>2</v>
      </c>
    </row>
    <row r="132" spans="2:9" x14ac:dyDescent="0.25">
      <c r="B132" s="2" t="s">
        <v>138</v>
      </c>
      <c r="C132" s="2">
        <v>10</v>
      </c>
      <c r="D132" s="2" t="s">
        <v>868</v>
      </c>
      <c r="E132" s="38">
        <v>2020</v>
      </c>
      <c r="F132" s="2">
        <v>16</v>
      </c>
      <c r="G132" s="2" t="s">
        <v>857</v>
      </c>
      <c r="H132" s="38">
        <v>2017</v>
      </c>
      <c r="I132" s="43" t="s">
        <v>3</v>
      </c>
    </row>
    <row r="133" spans="2:9" x14ac:dyDescent="0.25">
      <c r="B133" s="2" t="s">
        <v>139</v>
      </c>
      <c r="C133" s="2">
        <v>23</v>
      </c>
      <c r="D133" s="2" t="s">
        <v>868</v>
      </c>
      <c r="E133" s="38">
        <v>2020</v>
      </c>
      <c r="F133" s="2">
        <v>9</v>
      </c>
      <c r="G133" s="2" t="s">
        <v>866</v>
      </c>
      <c r="H133" s="38">
        <v>2020</v>
      </c>
      <c r="I133" s="43" t="s">
        <v>2</v>
      </c>
    </row>
    <row r="134" spans="2:9" x14ac:dyDescent="0.25">
      <c r="B134" s="2" t="s">
        <v>140</v>
      </c>
      <c r="C134" s="2">
        <v>24</v>
      </c>
      <c r="D134" s="2" t="s">
        <v>868</v>
      </c>
      <c r="E134" s="38">
        <v>2020</v>
      </c>
      <c r="F134" s="2">
        <v>5</v>
      </c>
      <c r="G134" s="2" t="s">
        <v>867</v>
      </c>
      <c r="H134" s="38">
        <v>2020</v>
      </c>
      <c r="I134" s="43" t="s">
        <v>3</v>
      </c>
    </row>
    <row r="135" spans="2:9" x14ac:dyDescent="0.25">
      <c r="B135" s="2" t="s">
        <v>141</v>
      </c>
      <c r="C135" s="2">
        <v>24</v>
      </c>
      <c r="D135" s="2" t="s">
        <v>868</v>
      </c>
      <c r="E135" s="38">
        <v>2020</v>
      </c>
      <c r="F135" s="2">
        <v>14</v>
      </c>
      <c r="G135" s="2" t="s">
        <v>869</v>
      </c>
      <c r="H135" s="38">
        <v>2019</v>
      </c>
      <c r="I135" s="43" t="s">
        <v>3</v>
      </c>
    </row>
    <row r="136" spans="2:9" x14ac:dyDescent="0.25">
      <c r="B136" s="2" t="s">
        <v>142</v>
      </c>
      <c r="C136" s="2">
        <v>24</v>
      </c>
      <c r="D136" s="2" t="s">
        <v>868</v>
      </c>
      <c r="E136" s="38">
        <v>2020</v>
      </c>
      <c r="F136" s="2">
        <v>15</v>
      </c>
      <c r="G136" s="2" t="s">
        <v>868</v>
      </c>
      <c r="H136" s="38">
        <v>2020</v>
      </c>
      <c r="I136" s="43" t="s">
        <v>3</v>
      </c>
    </row>
    <row r="137" spans="2:9" x14ac:dyDescent="0.25">
      <c r="B137" s="2" t="s">
        <v>143</v>
      </c>
      <c r="C137" s="2">
        <v>24</v>
      </c>
      <c r="D137" s="2" t="s">
        <v>868</v>
      </c>
      <c r="E137" s="38">
        <v>2020</v>
      </c>
      <c r="F137" s="2">
        <v>11</v>
      </c>
      <c r="G137" s="2" t="s">
        <v>867</v>
      </c>
      <c r="H137" s="38">
        <v>2020</v>
      </c>
      <c r="I137" s="43" t="s">
        <v>2</v>
      </c>
    </row>
    <row r="138" spans="2:9" x14ac:dyDescent="0.25">
      <c r="B138" s="2" t="s">
        <v>144</v>
      </c>
      <c r="C138" s="2">
        <v>24</v>
      </c>
      <c r="D138" s="2" t="s">
        <v>868</v>
      </c>
      <c r="E138" s="38">
        <v>2020</v>
      </c>
      <c r="F138" s="2">
        <v>5</v>
      </c>
      <c r="G138" s="2" t="s">
        <v>868</v>
      </c>
      <c r="H138" s="38">
        <v>2020</v>
      </c>
      <c r="I138" s="43" t="s">
        <v>3</v>
      </c>
    </row>
    <row r="139" spans="2:9" x14ac:dyDescent="0.25">
      <c r="B139" s="2" t="s">
        <v>145</v>
      </c>
      <c r="C139" s="2">
        <v>24</v>
      </c>
      <c r="D139" s="2" t="s">
        <v>868</v>
      </c>
      <c r="E139" s="38">
        <v>2020</v>
      </c>
      <c r="F139" s="2">
        <v>13</v>
      </c>
      <c r="G139" s="2" t="s">
        <v>868</v>
      </c>
      <c r="H139" s="38">
        <v>2020</v>
      </c>
      <c r="I139" s="43" t="s">
        <v>3</v>
      </c>
    </row>
    <row r="140" spans="2:9" x14ac:dyDescent="0.25">
      <c r="B140" s="2" t="s">
        <v>146</v>
      </c>
      <c r="C140" s="2">
        <v>25</v>
      </c>
      <c r="D140" s="2" t="s">
        <v>868</v>
      </c>
      <c r="E140" s="38">
        <v>2020</v>
      </c>
      <c r="F140" s="2">
        <v>18</v>
      </c>
      <c r="G140" s="2" t="s">
        <v>868</v>
      </c>
      <c r="H140" s="38">
        <v>2020</v>
      </c>
      <c r="I140" s="43" t="s">
        <v>3</v>
      </c>
    </row>
    <row r="141" spans="2:9" x14ac:dyDescent="0.25">
      <c r="B141" s="2" t="s">
        <v>147</v>
      </c>
      <c r="C141" s="2">
        <v>25</v>
      </c>
      <c r="D141" s="2" t="s">
        <v>868</v>
      </c>
      <c r="E141" s="38">
        <v>2020</v>
      </c>
      <c r="F141" s="2">
        <v>22</v>
      </c>
      <c r="G141" s="2" t="s">
        <v>866</v>
      </c>
      <c r="H141" s="38">
        <v>2020</v>
      </c>
      <c r="I141" s="43" t="s">
        <v>3</v>
      </c>
    </row>
    <row r="142" spans="2:9" x14ac:dyDescent="0.25">
      <c r="B142" s="2" t="s">
        <v>148</v>
      </c>
      <c r="C142" s="2">
        <v>26</v>
      </c>
      <c r="D142" s="2" t="s">
        <v>868</v>
      </c>
      <c r="E142" s="38">
        <v>2020</v>
      </c>
      <c r="F142" s="2">
        <v>17</v>
      </c>
      <c r="G142" s="2" t="s">
        <v>863</v>
      </c>
      <c r="H142" s="38">
        <v>2018</v>
      </c>
      <c r="I142" s="43" t="s">
        <v>3</v>
      </c>
    </row>
    <row r="143" spans="2:9" x14ac:dyDescent="0.25">
      <c r="B143" s="2" t="s">
        <v>149</v>
      </c>
      <c r="C143" s="2">
        <v>1</v>
      </c>
      <c r="D143" s="2" t="s">
        <v>864</v>
      </c>
      <c r="E143" s="38">
        <v>2020</v>
      </c>
      <c r="F143" s="2">
        <v>27</v>
      </c>
      <c r="G143" s="2" t="s">
        <v>861</v>
      </c>
      <c r="H143" s="38">
        <v>2020</v>
      </c>
      <c r="I143" s="43" t="s">
        <v>3</v>
      </c>
    </row>
    <row r="144" spans="2:9" x14ac:dyDescent="0.25">
      <c r="B144" s="2" t="s">
        <v>150</v>
      </c>
      <c r="C144" s="2">
        <v>2</v>
      </c>
      <c r="D144" s="2" t="s">
        <v>864</v>
      </c>
      <c r="E144" s="38">
        <v>2020</v>
      </c>
      <c r="F144" s="2">
        <v>3</v>
      </c>
      <c r="G144" s="2" t="s">
        <v>861</v>
      </c>
      <c r="H144" s="38">
        <v>2019</v>
      </c>
      <c r="I144" s="43" t="s">
        <v>2</v>
      </c>
    </row>
    <row r="145" spans="2:9" x14ac:dyDescent="0.25">
      <c r="B145" s="2" t="s">
        <v>151</v>
      </c>
      <c r="C145" s="2">
        <v>2</v>
      </c>
      <c r="D145" s="2" t="s">
        <v>864</v>
      </c>
      <c r="E145" s="38">
        <v>2020</v>
      </c>
      <c r="F145" s="2">
        <v>23</v>
      </c>
      <c r="G145" s="2" t="s">
        <v>867</v>
      </c>
      <c r="H145" s="38">
        <v>2020</v>
      </c>
      <c r="I145" s="43" t="s">
        <v>3</v>
      </c>
    </row>
    <row r="146" spans="2:9" x14ac:dyDescent="0.25">
      <c r="B146" s="2" t="s">
        <v>152</v>
      </c>
      <c r="C146" s="2">
        <v>2</v>
      </c>
      <c r="D146" s="2" t="s">
        <v>864</v>
      </c>
      <c r="E146" s="38">
        <v>2020</v>
      </c>
      <c r="F146" s="2">
        <v>23</v>
      </c>
      <c r="G146" s="2" t="s">
        <v>868</v>
      </c>
      <c r="H146" s="38">
        <v>2020</v>
      </c>
      <c r="I146" s="43" t="s">
        <v>3</v>
      </c>
    </row>
    <row r="147" spans="2:9" x14ac:dyDescent="0.25">
      <c r="B147" s="2" t="s">
        <v>153</v>
      </c>
      <c r="C147" s="2">
        <v>2</v>
      </c>
      <c r="D147" s="2" t="s">
        <v>864</v>
      </c>
      <c r="E147" s="38">
        <v>2020</v>
      </c>
      <c r="F147" s="2">
        <v>23</v>
      </c>
      <c r="G147" s="2" t="s">
        <v>868</v>
      </c>
      <c r="H147" s="38">
        <v>2020</v>
      </c>
      <c r="I147" s="43" t="s">
        <v>2</v>
      </c>
    </row>
    <row r="148" spans="2:9" x14ac:dyDescent="0.25">
      <c r="B148" s="2" t="s">
        <v>154</v>
      </c>
      <c r="C148" s="2">
        <v>3</v>
      </c>
      <c r="D148" s="2" t="s">
        <v>864</v>
      </c>
      <c r="E148" s="38">
        <v>2020</v>
      </c>
      <c r="F148" s="2">
        <v>22</v>
      </c>
      <c r="G148" s="2" t="s">
        <v>868</v>
      </c>
      <c r="H148" s="38">
        <v>2019</v>
      </c>
      <c r="I148" s="43" t="s">
        <v>2</v>
      </c>
    </row>
    <row r="149" spans="2:9" x14ac:dyDescent="0.25">
      <c r="B149" s="2" t="s">
        <v>155</v>
      </c>
      <c r="C149" s="2">
        <v>23</v>
      </c>
      <c r="D149" s="2" t="s">
        <v>864</v>
      </c>
      <c r="E149" s="38">
        <v>2020</v>
      </c>
      <c r="F149" s="2">
        <v>11</v>
      </c>
      <c r="G149" s="2" t="s">
        <v>866</v>
      </c>
      <c r="H149" s="38">
        <v>2020</v>
      </c>
      <c r="I149" s="43" t="s">
        <v>3</v>
      </c>
    </row>
    <row r="150" spans="2:9" x14ac:dyDescent="0.25">
      <c r="B150" s="2" t="s">
        <v>156</v>
      </c>
      <c r="C150" s="2">
        <v>24</v>
      </c>
      <c r="D150" s="2" t="s">
        <v>864</v>
      </c>
      <c r="E150" s="38">
        <v>2020</v>
      </c>
      <c r="F150" s="2">
        <v>2</v>
      </c>
      <c r="G150" s="2" t="s">
        <v>865</v>
      </c>
      <c r="H150" s="38">
        <v>2020</v>
      </c>
      <c r="I150" s="43" t="s">
        <v>3</v>
      </c>
    </row>
    <row r="151" spans="2:9" x14ac:dyDescent="0.25">
      <c r="B151" s="2" t="s">
        <v>157</v>
      </c>
      <c r="C151" s="2">
        <v>27</v>
      </c>
      <c r="D151" s="2" t="s">
        <v>864</v>
      </c>
      <c r="E151" s="38">
        <v>2020</v>
      </c>
      <c r="F151" s="2">
        <v>18</v>
      </c>
      <c r="G151" s="2" t="s">
        <v>868</v>
      </c>
      <c r="H151" s="38">
        <v>2020</v>
      </c>
      <c r="I151" s="43" t="s">
        <v>2</v>
      </c>
    </row>
    <row r="152" spans="2:9" x14ac:dyDescent="0.25">
      <c r="B152" s="2" t="s">
        <v>158</v>
      </c>
      <c r="C152" s="2">
        <v>28</v>
      </c>
      <c r="D152" s="2" t="s">
        <v>864</v>
      </c>
      <c r="E152" s="38">
        <v>2020</v>
      </c>
      <c r="F152" s="2">
        <v>17</v>
      </c>
      <c r="G152" s="2" t="s">
        <v>864</v>
      </c>
      <c r="H152" s="38">
        <v>2020</v>
      </c>
      <c r="I152" s="43" t="s">
        <v>2</v>
      </c>
    </row>
    <row r="153" spans="2:9" x14ac:dyDescent="0.25">
      <c r="D153" s="37"/>
    </row>
    <row r="154" spans="2:9" x14ac:dyDescent="0.25">
      <c r="D154" s="37"/>
    </row>
    <row r="155" spans="2:9" x14ac:dyDescent="0.25">
      <c r="D155" s="37"/>
    </row>
    <row r="156" spans="2:9" x14ac:dyDescent="0.25">
      <c r="D156" s="37"/>
    </row>
    <row r="157" spans="2:9" x14ac:dyDescent="0.25">
      <c r="D157" s="37"/>
    </row>
    <row r="158" spans="2:9" x14ac:dyDescent="0.25">
      <c r="D158" s="37"/>
    </row>
    <row r="159" spans="2:9" x14ac:dyDescent="0.25">
      <c r="D159" s="37"/>
    </row>
    <row r="160" spans="2:9" x14ac:dyDescent="0.25">
      <c r="D160" s="37"/>
    </row>
    <row r="161" spans="4:4" x14ac:dyDescent="0.25">
      <c r="D161" s="37"/>
    </row>
    <row r="162" spans="4:4" x14ac:dyDescent="0.25">
      <c r="D162" s="37"/>
    </row>
    <row r="163" spans="4:4" x14ac:dyDescent="0.25">
      <c r="D163" s="37"/>
    </row>
    <row r="164" spans="4:4" x14ac:dyDescent="0.25">
      <c r="D164" s="37"/>
    </row>
    <row r="165" spans="4:4" x14ac:dyDescent="0.25">
      <c r="D165" s="37"/>
    </row>
    <row r="166" spans="4:4" x14ac:dyDescent="0.25">
      <c r="D166" s="37"/>
    </row>
    <row r="167" spans="4:4" x14ac:dyDescent="0.25">
      <c r="D167" s="37"/>
    </row>
    <row r="168" spans="4:4" x14ac:dyDescent="0.25">
      <c r="D168" s="37"/>
    </row>
    <row r="169" spans="4:4" x14ac:dyDescent="0.25">
      <c r="D169" s="37"/>
    </row>
  </sheetData>
  <protectedRanges>
    <protectedRange algorithmName="SHA-512" hashValue="cgpRj/krUarnD3gTTDFu613ZqKGadI8zGVudXIajKfUIbyE4y+aL/KTqt/86mFbjgpNg+QDNA/KcVrkq5zIliA==" saltValue="UeLTtRdYkEfhujfeXXi1pA==" spinCount="100000" sqref="L4:N8 Q4:S14 V4:X13 AA4:AC13 AF4:AH9 L19:N26 Q19:S25" name="ENERO"/>
  </protectedRanges>
  <mergeCells count="16">
    <mergeCell ref="K17:M17"/>
    <mergeCell ref="K27:M27"/>
    <mergeCell ref="P17:R17"/>
    <mergeCell ref="P26:R26"/>
    <mergeCell ref="U2:W2"/>
    <mergeCell ref="U14:W14"/>
    <mergeCell ref="Z2:AB2"/>
    <mergeCell ref="Z14:AB14"/>
    <mergeCell ref="AE2:AG2"/>
    <mergeCell ref="AE10:AG10"/>
    <mergeCell ref="C1:E1"/>
    <mergeCell ref="F1:H1"/>
    <mergeCell ref="K2:M2"/>
    <mergeCell ref="P2:R2"/>
    <mergeCell ref="P15:R15"/>
    <mergeCell ref="K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Javier</cp:lastModifiedBy>
  <cp:lastPrinted>2020-09-03T15:54:54Z</cp:lastPrinted>
  <dcterms:created xsi:type="dcterms:W3CDTF">2020-08-26T18:53:23Z</dcterms:created>
  <dcterms:modified xsi:type="dcterms:W3CDTF">2020-09-12T23:39:11Z</dcterms:modified>
</cp:coreProperties>
</file>